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https://d.docs.live.net/5804a653d0d1616d/Office Live-Dokumente/JFG/Veranstaltungen/JFG Hallenturnier 2019/"/>
    </mc:Choice>
  </mc:AlternateContent>
  <xr:revisionPtr revIDLastSave="37" documentId="8_{EFDE4542-6156-417C-8175-722B04156079}" xr6:coauthVersionLast="40" xr6:coauthVersionMax="40" xr10:uidLastSave="{190621EF-3A3E-41ED-9770-6D35F3F186F9}"/>
  <bookViews>
    <workbookView xWindow="32760" yWindow="32760" windowWidth="16380" windowHeight="8190" tabRatio="411" activeTab="5" xr2:uid="{00000000-000D-0000-FFFF-FFFF00000000}"/>
  </bookViews>
  <sheets>
    <sheet name="Übersicht" sheetId="1" r:id="rId1"/>
    <sheet name="D3" sheetId="2" r:id="rId2"/>
    <sheet name="C2" sheetId="3" r:id="rId3"/>
    <sheet name="B1" sheetId="4" r:id="rId4"/>
    <sheet name="D1" sheetId="5" r:id="rId5"/>
    <sheet name="C1" sheetId="6" r:id="rId6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26" i="4"/>
  <c r="C28" i="4"/>
  <c r="C30" i="4"/>
  <c r="C32" i="4"/>
  <c r="C34" i="4"/>
  <c r="C36" i="4"/>
  <c r="C37" i="4"/>
  <c r="K2" i="4"/>
  <c r="E5" i="4"/>
  <c r="G5" i="4"/>
  <c r="E6" i="4"/>
  <c r="G6" i="4"/>
  <c r="E7" i="4"/>
  <c r="G7" i="4"/>
  <c r="AA7" i="4"/>
  <c r="AB7" i="4"/>
  <c r="AC7" i="4"/>
  <c r="AM7" i="4"/>
  <c r="AD7" i="4"/>
  <c r="AF7" i="4"/>
  <c r="AG7" i="4"/>
  <c r="AK7" i="4"/>
  <c r="AN7" i="4"/>
  <c r="AI7" i="4"/>
  <c r="E8" i="4"/>
  <c r="G8" i="4"/>
  <c r="AA8" i="4"/>
  <c r="AK8" i="4"/>
  <c r="AN8" i="4"/>
  <c r="AC8" i="4"/>
  <c r="AD8" i="4"/>
  <c r="AF8" i="4"/>
  <c r="AG8" i="4"/>
  <c r="AI8" i="4"/>
  <c r="AM8" i="4"/>
  <c r="E9" i="4"/>
  <c r="G9" i="4"/>
  <c r="AA9" i="4"/>
  <c r="AC9" i="4"/>
  <c r="AD9" i="4"/>
  <c r="AF9" i="4"/>
  <c r="AG9" i="4"/>
  <c r="AI9" i="4"/>
  <c r="AK9" i="4"/>
  <c r="AN9" i="4"/>
  <c r="AM9" i="4"/>
  <c r="E10" i="4"/>
  <c r="G10" i="4"/>
  <c r="AA10" i="4"/>
  <c r="AC10" i="4"/>
  <c r="AM10" i="4"/>
  <c r="AD10" i="4"/>
  <c r="AF10" i="4"/>
  <c r="AG10" i="4"/>
  <c r="AI10" i="4"/>
  <c r="AK10" i="4"/>
  <c r="E11" i="4"/>
  <c r="G11" i="4"/>
  <c r="E12" i="4"/>
  <c r="G12" i="4"/>
  <c r="AA12" i="4"/>
  <c r="AC12" i="4"/>
  <c r="AM12" i="4"/>
  <c r="AD12" i="4"/>
  <c r="AF12" i="4"/>
  <c r="AG12" i="4"/>
  <c r="AI12" i="4"/>
  <c r="AK12" i="4"/>
  <c r="AN12" i="4"/>
  <c r="E13" i="4"/>
  <c r="G13" i="4"/>
  <c r="AA13" i="4"/>
  <c r="AK13" i="4"/>
  <c r="AC13" i="4"/>
  <c r="AM13" i="4"/>
  <c r="AD13" i="4"/>
  <c r="AF13" i="4"/>
  <c r="AG13" i="4"/>
  <c r="AI13" i="4"/>
  <c r="E14" i="4"/>
  <c r="G14" i="4"/>
  <c r="AA14" i="4"/>
  <c r="AK14" i="4"/>
  <c r="AN14" i="4"/>
  <c r="AC14" i="4"/>
  <c r="AD14" i="4"/>
  <c r="AF14" i="4"/>
  <c r="AG14" i="4"/>
  <c r="AI14" i="4"/>
  <c r="AM14" i="4"/>
  <c r="E15" i="4"/>
  <c r="G15" i="4"/>
  <c r="AA15" i="4"/>
  <c r="AC15" i="4"/>
  <c r="AD15" i="4"/>
  <c r="AF15" i="4"/>
  <c r="AG15" i="4"/>
  <c r="AI15" i="4"/>
  <c r="AK15" i="4"/>
  <c r="AN15" i="4"/>
  <c r="AM15" i="4"/>
  <c r="E16" i="4"/>
  <c r="G16" i="4"/>
  <c r="E19" i="4"/>
  <c r="H19" i="4"/>
  <c r="E34" i="4"/>
  <c r="G34" i="4"/>
  <c r="E36" i="4"/>
  <c r="E45" i="4"/>
  <c r="G36" i="4"/>
  <c r="E40" i="4"/>
  <c r="E41" i="4"/>
  <c r="E42" i="4"/>
  <c r="E43" i="4"/>
  <c r="E44" i="4"/>
  <c r="F47" i="4"/>
  <c r="F48" i="4" s="1"/>
  <c r="D16" i="1" s="1"/>
  <c r="A16" i="1" s="1"/>
  <c r="C5" i="6"/>
  <c r="E5" i="6"/>
  <c r="G5" i="6"/>
  <c r="C6" i="6"/>
  <c r="E6" i="6"/>
  <c r="G6" i="6"/>
  <c r="C7" i="6"/>
  <c r="C8" i="6"/>
  <c r="C9" i="6"/>
  <c r="C10" i="6"/>
  <c r="C11" i="6"/>
  <c r="C12" i="6"/>
  <c r="C13" i="6"/>
  <c r="C14" i="6"/>
  <c r="C15" i="6"/>
  <c r="C16" i="6"/>
  <c r="C17" i="6"/>
  <c r="C26" i="6"/>
  <c r="C28" i="6"/>
  <c r="C30" i="6"/>
  <c r="C32" i="6"/>
  <c r="E7" i="6"/>
  <c r="G7" i="6"/>
  <c r="AA7" i="6"/>
  <c r="AB7" i="6"/>
  <c r="AC7" i="6"/>
  <c r="AM7" i="6"/>
  <c r="AD7" i="6"/>
  <c r="AK7" i="6"/>
  <c r="AF7" i="6"/>
  <c r="AG7" i="6"/>
  <c r="AI7" i="6"/>
  <c r="AJ7" i="6"/>
  <c r="E8" i="6"/>
  <c r="G8" i="6"/>
  <c r="AA8" i="6"/>
  <c r="AJ8" i="6"/>
  <c r="AC8" i="6"/>
  <c r="AD8" i="6"/>
  <c r="AF8" i="6"/>
  <c r="AG8" i="6"/>
  <c r="AI8" i="6"/>
  <c r="AM8" i="6"/>
  <c r="E9" i="6"/>
  <c r="G9" i="6"/>
  <c r="W9" i="6"/>
  <c r="AA9" i="6"/>
  <c r="AJ9" i="6"/>
  <c r="AC9" i="6"/>
  <c r="AD9" i="6"/>
  <c r="AF9" i="6"/>
  <c r="AM9" i="6"/>
  <c r="AG9" i="6"/>
  <c r="AI9" i="6"/>
  <c r="AK9" i="6"/>
  <c r="AN9" i="6"/>
  <c r="AO9" i="6"/>
  <c r="E10" i="6"/>
  <c r="G10" i="6"/>
  <c r="AA10" i="6"/>
  <c r="AK10" i="6"/>
  <c r="AN10" i="6"/>
  <c r="AC10" i="6"/>
  <c r="AM10" i="6"/>
  <c r="AD10" i="6"/>
  <c r="AF10" i="6"/>
  <c r="AG10" i="6"/>
  <c r="AI10" i="6"/>
  <c r="E11" i="6"/>
  <c r="G11" i="6"/>
  <c r="E12" i="6"/>
  <c r="G12" i="6"/>
  <c r="AA12" i="6"/>
  <c r="AJ12" i="6"/>
  <c r="AC12" i="6"/>
  <c r="AD12" i="6"/>
  <c r="AF12" i="6"/>
  <c r="AG12" i="6"/>
  <c r="AI12" i="6"/>
  <c r="AM12" i="6"/>
  <c r="E13" i="6"/>
  <c r="G13" i="6"/>
  <c r="AA13" i="6"/>
  <c r="AC13" i="6"/>
  <c r="AM13" i="6"/>
  <c r="AD13" i="6"/>
  <c r="AK13" i="6"/>
  <c r="AF13" i="6"/>
  <c r="AG13" i="6"/>
  <c r="AI13" i="6"/>
  <c r="AJ13" i="6"/>
  <c r="E14" i="6"/>
  <c r="G14" i="6"/>
  <c r="AA14" i="6"/>
  <c r="AC14" i="6"/>
  <c r="AD14" i="6"/>
  <c r="AF14" i="6"/>
  <c r="AG14" i="6"/>
  <c r="AI14" i="6"/>
  <c r="AM14" i="6"/>
  <c r="E15" i="6"/>
  <c r="G15" i="6"/>
  <c r="AA15" i="6"/>
  <c r="AC15" i="6"/>
  <c r="AM15" i="6"/>
  <c r="AD15" i="6"/>
  <c r="AK15" i="6"/>
  <c r="AN15" i="6"/>
  <c r="AF15" i="6"/>
  <c r="AG15" i="6"/>
  <c r="AI15" i="6"/>
  <c r="AJ15" i="6"/>
  <c r="E16" i="6"/>
  <c r="G16" i="6"/>
  <c r="E19" i="6"/>
  <c r="H19" i="6"/>
  <c r="O26" i="6"/>
  <c r="Q26" i="6"/>
  <c r="O30" i="6"/>
  <c r="Q30" i="6"/>
  <c r="O32" i="6"/>
  <c r="Q32" i="6"/>
  <c r="C34" i="6"/>
  <c r="O34" i="6"/>
  <c r="Q34" i="6"/>
  <c r="C36" i="6"/>
  <c r="C37" i="6"/>
  <c r="K2" i="6"/>
  <c r="O36" i="6"/>
  <c r="Q36" i="6"/>
  <c r="F46" i="6"/>
  <c r="F47" i="6"/>
  <c r="F48" i="6"/>
  <c r="S4" i="3"/>
  <c r="C5" i="3"/>
  <c r="C6" i="3"/>
  <c r="C7" i="3"/>
  <c r="E5" i="3"/>
  <c r="G5" i="3"/>
  <c r="E6" i="3"/>
  <c r="G6" i="3"/>
  <c r="E7" i="3"/>
  <c r="G7" i="3"/>
  <c r="AA7" i="3"/>
  <c r="AB7" i="3"/>
  <c r="AC7" i="3"/>
  <c r="AD7" i="3"/>
  <c r="AF7" i="3"/>
  <c r="AG7" i="3"/>
  <c r="AI7" i="3"/>
  <c r="C8" i="3"/>
  <c r="C9" i="3"/>
  <c r="E8" i="3"/>
  <c r="G8" i="3"/>
  <c r="AA8" i="3"/>
  <c r="AC8" i="3"/>
  <c r="AD8" i="3"/>
  <c r="AF8" i="3"/>
  <c r="AM8" i="3"/>
  <c r="AG8" i="3"/>
  <c r="AI8" i="3"/>
  <c r="AK8" i="3"/>
  <c r="AN8" i="3"/>
  <c r="E9" i="3"/>
  <c r="G9" i="3"/>
  <c r="AA9" i="3"/>
  <c r="AC9" i="3"/>
  <c r="AD9" i="3"/>
  <c r="AF9" i="3"/>
  <c r="AG9" i="3"/>
  <c r="AI9" i="3"/>
  <c r="AM9" i="3"/>
  <c r="C10" i="3"/>
  <c r="C11" i="3"/>
  <c r="C12" i="3"/>
  <c r="E10" i="3"/>
  <c r="G10" i="3"/>
  <c r="AA10" i="3"/>
  <c r="AC10" i="3"/>
  <c r="AD10" i="3"/>
  <c r="AF10" i="3"/>
  <c r="AM10" i="3"/>
  <c r="AG10" i="3"/>
  <c r="AI10" i="3"/>
  <c r="AK10" i="3"/>
  <c r="AN10" i="3"/>
  <c r="E11" i="3"/>
  <c r="G11" i="3"/>
  <c r="E12" i="3"/>
  <c r="G12" i="3"/>
  <c r="AA12" i="3"/>
  <c r="AC12" i="3"/>
  <c r="AD12" i="3"/>
  <c r="AK12" i="3"/>
  <c r="AF12" i="3"/>
  <c r="AG12" i="3"/>
  <c r="AI12" i="3"/>
  <c r="AJ12" i="3"/>
  <c r="C13" i="3"/>
  <c r="C14" i="3"/>
  <c r="C15" i="3"/>
  <c r="C16" i="3"/>
  <c r="C17" i="3"/>
  <c r="C26" i="3"/>
  <c r="C27" i="3"/>
  <c r="C31" i="3"/>
  <c r="C33" i="3"/>
  <c r="C35" i="3"/>
  <c r="C37" i="3"/>
  <c r="C38" i="3"/>
  <c r="K2" i="3"/>
  <c r="E13" i="3"/>
  <c r="G13" i="3"/>
  <c r="AA13" i="3"/>
  <c r="AC13" i="3"/>
  <c r="AD13" i="3"/>
  <c r="AF13" i="3"/>
  <c r="AG13" i="3"/>
  <c r="AI13" i="3"/>
  <c r="AM13" i="3"/>
  <c r="E14" i="3"/>
  <c r="G14" i="3"/>
  <c r="AA14" i="3"/>
  <c r="AC14" i="3"/>
  <c r="AD14" i="3"/>
  <c r="AK14" i="3"/>
  <c r="AF14" i="3"/>
  <c r="AG14" i="3"/>
  <c r="AI14" i="3"/>
  <c r="AJ14" i="3"/>
  <c r="E15" i="3"/>
  <c r="G15" i="3"/>
  <c r="AA15" i="3"/>
  <c r="AC15" i="3"/>
  <c r="AD15" i="3"/>
  <c r="AF15" i="3"/>
  <c r="AG15" i="3"/>
  <c r="AI15" i="3"/>
  <c r="AK15" i="3"/>
  <c r="AN15" i="3"/>
  <c r="AM15" i="3"/>
  <c r="E16" i="3"/>
  <c r="G16" i="3"/>
  <c r="E19" i="3"/>
  <c r="H19" i="3"/>
  <c r="O31" i="3"/>
  <c r="O33" i="3"/>
  <c r="Q35" i="3"/>
  <c r="O37" i="3"/>
  <c r="F48" i="3"/>
  <c r="F49" i="3"/>
  <c r="S4" i="5"/>
  <c r="C5" i="5"/>
  <c r="E5" i="5"/>
  <c r="G5" i="5"/>
  <c r="C6" i="5"/>
  <c r="E6" i="5"/>
  <c r="G6" i="5"/>
  <c r="C7" i="5"/>
  <c r="C8" i="5"/>
  <c r="C9" i="5"/>
  <c r="C10" i="5"/>
  <c r="C11" i="5"/>
  <c r="C12" i="5"/>
  <c r="C13" i="5"/>
  <c r="C14" i="5"/>
  <c r="C15" i="5"/>
  <c r="C16" i="5"/>
  <c r="C17" i="5"/>
  <c r="C26" i="5"/>
  <c r="C28" i="5"/>
  <c r="C30" i="5"/>
  <c r="C32" i="5"/>
  <c r="C34" i="5"/>
  <c r="C36" i="5"/>
  <c r="C37" i="5"/>
  <c r="K2" i="5"/>
  <c r="E7" i="5"/>
  <c r="G7" i="5"/>
  <c r="AA7" i="5"/>
  <c r="AJ7" i="5"/>
  <c r="AB7" i="5"/>
  <c r="AC7" i="5"/>
  <c r="AD7" i="5"/>
  <c r="AF7" i="5"/>
  <c r="AM7" i="5"/>
  <c r="AG7" i="5"/>
  <c r="AI7" i="5"/>
  <c r="AK7" i="5"/>
  <c r="AO7" i="5"/>
  <c r="W7" i="5"/>
  <c r="E8" i="5"/>
  <c r="G8" i="5"/>
  <c r="AA8" i="5"/>
  <c r="AC8" i="5"/>
  <c r="AD8" i="5"/>
  <c r="AK8" i="5"/>
  <c r="AN8" i="5"/>
  <c r="AF8" i="5"/>
  <c r="AM8" i="5"/>
  <c r="AG8" i="5"/>
  <c r="AI8" i="5"/>
  <c r="AJ8" i="5"/>
  <c r="AP8" i="5"/>
  <c r="E9" i="5"/>
  <c r="G9" i="5"/>
  <c r="AA9" i="5"/>
  <c r="AK9" i="5"/>
  <c r="AN9" i="5"/>
  <c r="AC9" i="5"/>
  <c r="AD9" i="5"/>
  <c r="AF9" i="5"/>
  <c r="AG9" i="5"/>
  <c r="AI9" i="5"/>
  <c r="AM9" i="5"/>
  <c r="E10" i="5"/>
  <c r="G10" i="5"/>
  <c r="W10" i="5"/>
  <c r="AA10" i="5"/>
  <c r="AJ10" i="5"/>
  <c r="AC10" i="5"/>
  <c r="AD10" i="5"/>
  <c r="AF10" i="5"/>
  <c r="AM10" i="5"/>
  <c r="AG10" i="5"/>
  <c r="AI10" i="5"/>
  <c r="AK10" i="5"/>
  <c r="AO10" i="5"/>
  <c r="E11" i="5"/>
  <c r="G11" i="5"/>
  <c r="E12" i="5"/>
  <c r="G12" i="5"/>
  <c r="AA12" i="5"/>
  <c r="AC12" i="5"/>
  <c r="AD12" i="5"/>
  <c r="AK12" i="5"/>
  <c r="AF12" i="5"/>
  <c r="AM12" i="5"/>
  <c r="AG12" i="5"/>
  <c r="AI12" i="5"/>
  <c r="AJ12" i="5"/>
  <c r="E13" i="5"/>
  <c r="G13" i="5"/>
  <c r="AA13" i="5"/>
  <c r="AK13" i="5"/>
  <c r="AN13" i="5"/>
  <c r="AC13" i="5"/>
  <c r="AD13" i="5"/>
  <c r="AF13" i="5"/>
  <c r="AG13" i="5"/>
  <c r="AI13" i="5"/>
  <c r="AM13" i="5"/>
  <c r="E14" i="5"/>
  <c r="G14" i="5"/>
  <c r="AA14" i="5"/>
  <c r="AC14" i="5"/>
  <c r="AD14" i="5"/>
  <c r="AK14" i="5"/>
  <c r="AF14" i="5"/>
  <c r="AM14" i="5"/>
  <c r="AG14" i="5"/>
  <c r="AI14" i="5"/>
  <c r="AJ14" i="5"/>
  <c r="E15" i="5"/>
  <c r="G15" i="5"/>
  <c r="AA15" i="5"/>
  <c r="AK15" i="5"/>
  <c r="AN15" i="5"/>
  <c r="AC15" i="5"/>
  <c r="AD15" i="5"/>
  <c r="AF15" i="5"/>
  <c r="AG15" i="5"/>
  <c r="AI15" i="5"/>
  <c r="AM15" i="5"/>
  <c r="E16" i="5"/>
  <c r="G16" i="5"/>
  <c r="E19" i="5"/>
  <c r="H19" i="5"/>
  <c r="Z19" i="5"/>
  <c r="E20" i="5"/>
  <c r="Z20" i="5"/>
  <c r="Z21" i="5"/>
  <c r="E26" i="5"/>
  <c r="O26" i="5"/>
  <c r="Q26" i="5"/>
  <c r="O28" i="5"/>
  <c r="Q28" i="5"/>
  <c r="O30" i="5"/>
  <c r="Q30" i="5"/>
  <c r="O32" i="5"/>
  <c r="O34" i="5"/>
  <c r="Q34" i="5"/>
  <c r="E36" i="5"/>
  <c r="O36" i="5"/>
  <c r="Q36" i="5"/>
  <c r="E45" i="5"/>
  <c r="F46" i="5"/>
  <c r="F47" i="5"/>
  <c r="F48" i="5"/>
  <c r="U4" i="2"/>
  <c r="A5" i="2"/>
  <c r="C8" i="2"/>
  <c r="C9" i="2"/>
  <c r="C10" i="2"/>
  <c r="C11" i="2"/>
  <c r="E8" i="2"/>
  <c r="G9" i="2"/>
  <c r="E10" i="2"/>
  <c r="G11" i="2"/>
  <c r="C12" i="2"/>
  <c r="C13" i="2"/>
  <c r="C14" i="2"/>
  <c r="C15" i="2"/>
  <c r="C16" i="2"/>
  <c r="C17" i="2"/>
  <c r="C18" i="2"/>
  <c r="C38" i="2"/>
  <c r="C39" i="2"/>
  <c r="G13" i="2"/>
  <c r="G15" i="2"/>
  <c r="E17" i="2"/>
  <c r="C19" i="2"/>
  <c r="T21" i="2"/>
  <c r="E7" i="2"/>
  <c r="Z21" i="2"/>
  <c r="AA21" i="2"/>
  <c r="AB21" i="2"/>
  <c r="U21" i="2"/>
  <c r="AC21" i="2"/>
  <c r="AE21" i="2"/>
  <c r="AF21" i="2"/>
  <c r="AH21" i="2"/>
  <c r="T22" i="2"/>
  <c r="E11" i="2"/>
  <c r="V22" i="2"/>
  <c r="Z22" i="2"/>
  <c r="AB22" i="2"/>
  <c r="AC22" i="2"/>
  <c r="AE22" i="2"/>
  <c r="AF22" i="2"/>
  <c r="AH22" i="2"/>
  <c r="T23" i="2"/>
  <c r="Z23" i="2"/>
  <c r="U23" i="2"/>
  <c r="AB23" i="2"/>
  <c r="AC23" i="2"/>
  <c r="V23" i="2"/>
  <c r="Y23" i="2"/>
  <c r="AE23" i="2"/>
  <c r="X23" i="2"/>
  <c r="AF23" i="2"/>
  <c r="AH23" i="2"/>
  <c r="T24" i="2"/>
  <c r="G7" i="2"/>
  <c r="Z24" i="2"/>
  <c r="V24" i="2"/>
  <c r="AB24" i="2"/>
  <c r="AC24" i="2"/>
  <c r="AE24" i="2"/>
  <c r="AF24" i="2"/>
  <c r="AH24" i="2"/>
  <c r="T26" i="2"/>
  <c r="G12" i="2"/>
  <c r="U26" i="2"/>
  <c r="Z26" i="2"/>
  <c r="V26" i="2"/>
  <c r="AB26" i="2"/>
  <c r="AC26" i="2"/>
  <c r="AE26" i="2"/>
  <c r="AF26" i="2"/>
  <c r="AH26" i="2"/>
  <c r="T27" i="2"/>
  <c r="G10" i="2"/>
  <c r="V27" i="2"/>
  <c r="Z27" i="2"/>
  <c r="AB27" i="2"/>
  <c r="AC27" i="2"/>
  <c r="AE27" i="2"/>
  <c r="AF27" i="2"/>
  <c r="AH27" i="2"/>
  <c r="T28" i="2"/>
  <c r="G14" i="2"/>
  <c r="U28" i="2"/>
  <c r="Z28" i="2"/>
  <c r="AB28" i="2"/>
  <c r="AC28" i="2"/>
  <c r="AE28" i="2"/>
  <c r="X28" i="2"/>
  <c r="AF28" i="2"/>
  <c r="AH28" i="2"/>
  <c r="T29" i="2"/>
  <c r="Z29" i="2"/>
  <c r="AB29" i="2"/>
  <c r="AC29" i="2"/>
  <c r="V29" i="2"/>
  <c r="AE29" i="2"/>
  <c r="X29" i="2"/>
  <c r="Y29" i="2"/>
  <c r="AF29" i="2"/>
  <c r="AH29" i="2"/>
  <c r="U33" i="2"/>
  <c r="U35" i="2"/>
  <c r="U34" i="2"/>
  <c r="U36" i="2"/>
  <c r="A37" i="2"/>
  <c r="C40" i="2"/>
  <c r="C41" i="2"/>
  <c r="C42" i="2"/>
  <c r="C43" i="2"/>
  <c r="C44" i="2"/>
  <c r="C45" i="2"/>
  <c r="C46" i="2"/>
  <c r="Z44" i="2"/>
  <c r="AB44" i="2"/>
  <c r="AC44" i="2"/>
  <c r="V44" i="2"/>
  <c r="AE44" i="2"/>
  <c r="X44" i="2"/>
  <c r="Y44" i="2"/>
  <c r="AF44" i="2"/>
  <c r="AH44" i="2"/>
  <c r="Z45" i="2"/>
  <c r="AB45" i="2"/>
  <c r="AC45" i="2"/>
  <c r="V45" i="2"/>
  <c r="AE45" i="2"/>
  <c r="X45" i="2"/>
  <c r="Y45" i="2"/>
  <c r="AF45" i="2"/>
  <c r="AH45" i="2"/>
  <c r="V46" i="2"/>
  <c r="Z46" i="2"/>
  <c r="U46" i="2"/>
  <c r="AB46" i="2"/>
  <c r="X46" i="2"/>
  <c r="AC46" i="2"/>
  <c r="AE46" i="2"/>
  <c r="AF46" i="2"/>
  <c r="AH46" i="2"/>
  <c r="Z47" i="2"/>
  <c r="V47" i="2"/>
  <c r="Y47" i="2"/>
  <c r="AB47" i="2"/>
  <c r="AC47" i="2"/>
  <c r="AE47" i="2"/>
  <c r="X47" i="2"/>
  <c r="AF47" i="2"/>
  <c r="AH47" i="2"/>
  <c r="C49" i="2"/>
  <c r="X49" i="2"/>
  <c r="Z49" i="2"/>
  <c r="U49" i="2"/>
  <c r="AB49" i="2"/>
  <c r="AC49" i="2"/>
  <c r="V49" i="2"/>
  <c r="Y49" i="2"/>
  <c r="AE49" i="2"/>
  <c r="AF49" i="2"/>
  <c r="AH49" i="2"/>
  <c r="V50" i="2"/>
  <c r="Z50" i="2"/>
  <c r="U50" i="2"/>
  <c r="AB50" i="2"/>
  <c r="AC50" i="2"/>
  <c r="AE50" i="2"/>
  <c r="AF50" i="2"/>
  <c r="AH50" i="2"/>
  <c r="U51" i="2"/>
  <c r="Z51" i="2"/>
  <c r="AB51" i="2"/>
  <c r="AC51" i="2"/>
  <c r="AE51" i="2"/>
  <c r="X51" i="2"/>
  <c r="AF51" i="2"/>
  <c r="AH51" i="2"/>
  <c r="X52" i="2"/>
  <c r="Z52" i="2"/>
  <c r="AB52" i="2"/>
  <c r="AC52" i="2"/>
  <c r="V52" i="2"/>
  <c r="Y52" i="2"/>
  <c r="AE52" i="2"/>
  <c r="AF52" i="2"/>
  <c r="AH52" i="2"/>
  <c r="C54" i="2"/>
  <c r="D7" i="1"/>
  <c r="D8" i="1"/>
  <c r="D9" i="1"/>
  <c r="D10" i="1"/>
  <c r="D11" i="1"/>
  <c r="D12" i="1"/>
  <c r="E12" i="1"/>
  <c r="B15" i="1"/>
  <c r="C15" i="1"/>
  <c r="E15" i="1"/>
  <c r="F15" i="1"/>
  <c r="C16" i="1"/>
  <c r="E16" i="1"/>
  <c r="F16" i="1"/>
  <c r="AI49" i="2"/>
  <c r="X24" i="2"/>
  <c r="U29" i="2"/>
  <c r="AI29" i="2"/>
  <c r="Y24" i="2"/>
  <c r="X50" i="2"/>
  <c r="U37" i="2"/>
  <c r="C60" i="2"/>
  <c r="X27" i="2"/>
  <c r="Y27" i="2"/>
  <c r="U24" i="2"/>
  <c r="AI24" i="2"/>
  <c r="AI23" i="2"/>
  <c r="U52" i="2"/>
  <c r="AI52" i="2"/>
  <c r="V51" i="2"/>
  <c r="Y51" i="2"/>
  <c r="AI51" i="2"/>
  <c r="R51" i="2"/>
  <c r="Y50" i="2"/>
  <c r="AI50" i="2"/>
  <c r="U47" i="2"/>
  <c r="AI47" i="2"/>
  <c r="Y46" i="2"/>
  <c r="AI46" i="2"/>
  <c r="R46" i="2"/>
  <c r="U45" i="2"/>
  <c r="AI45" i="2"/>
  <c r="U44" i="2"/>
  <c r="AI44" i="2"/>
  <c r="G8" i="2"/>
  <c r="E14" i="2"/>
  <c r="G18" i="2"/>
  <c r="AI28" i="2"/>
  <c r="X26" i="2"/>
  <c r="Y26" i="2"/>
  <c r="AI26" i="2"/>
  <c r="E15" i="2"/>
  <c r="E9" i="2"/>
  <c r="V28" i="2"/>
  <c r="Y28" i="2"/>
  <c r="U27" i="2"/>
  <c r="X21" i="2"/>
  <c r="E13" i="2"/>
  <c r="AP12" i="5"/>
  <c r="AN12" i="5"/>
  <c r="AN10" i="5"/>
  <c r="X22" i="2"/>
  <c r="Y22" i="2"/>
  <c r="U22" i="2"/>
  <c r="E18" i="2"/>
  <c r="E16" i="2"/>
  <c r="V21" i="2"/>
  <c r="Y21" i="2"/>
  <c r="AI21" i="2"/>
  <c r="G17" i="2"/>
  <c r="E12" i="2"/>
  <c r="AP14" i="5"/>
  <c r="AN14" i="5"/>
  <c r="AP10" i="5"/>
  <c r="AQ10" i="5"/>
  <c r="AJ15" i="5"/>
  <c r="AQ14" i="5"/>
  <c r="AJ13" i="5"/>
  <c r="AQ12" i="5"/>
  <c r="AJ9" i="5"/>
  <c r="AQ8" i="5"/>
  <c r="AJ7" i="3"/>
  <c r="AP15" i="4"/>
  <c r="AQ15" i="4"/>
  <c r="G16" i="2"/>
  <c r="AJ13" i="3"/>
  <c r="AM12" i="3"/>
  <c r="AN12" i="3"/>
  <c r="AJ8" i="3"/>
  <c r="AN10" i="4"/>
  <c r="AN7" i="5"/>
  <c r="AQ7" i="5"/>
  <c r="AQ15" i="6"/>
  <c r="AP15" i="6"/>
  <c r="AP9" i="6"/>
  <c r="AQ9" i="6"/>
  <c r="AQ12" i="4"/>
  <c r="AP12" i="4"/>
  <c r="AP8" i="4"/>
  <c r="AQ8" i="4"/>
  <c r="AP7" i="4"/>
  <c r="AQ7" i="4"/>
  <c r="AJ15" i="3"/>
  <c r="AM14" i="3"/>
  <c r="AN14" i="3"/>
  <c r="AK13" i="3"/>
  <c r="AN13" i="3"/>
  <c r="AJ10" i="3"/>
  <c r="AK9" i="3"/>
  <c r="AN9" i="3"/>
  <c r="AJ9" i="3"/>
  <c r="AM7" i="3"/>
  <c r="AK7" i="3"/>
  <c r="AN7" i="3"/>
  <c r="AJ14" i="6"/>
  <c r="AK14" i="6"/>
  <c r="AN14" i="6"/>
  <c r="AQ13" i="6"/>
  <c r="AN13" i="6"/>
  <c r="AN7" i="6"/>
  <c r="AQ7" i="6"/>
  <c r="AP14" i="4"/>
  <c r="AQ14" i="4"/>
  <c r="AN13" i="4"/>
  <c r="AP9" i="4"/>
  <c r="AQ9" i="4"/>
  <c r="AP13" i="6"/>
  <c r="AJ10" i="6"/>
  <c r="AP7" i="6"/>
  <c r="AK12" i="6"/>
  <c r="AN12" i="6"/>
  <c r="AP12" i="6"/>
  <c r="AK8" i="6"/>
  <c r="AN8" i="6"/>
  <c r="AP8" i="6"/>
  <c r="AQ12" i="3"/>
  <c r="AP12" i="3"/>
  <c r="AQ14" i="3"/>
  <c r="AP14" i="3"/>
  <c r="R50" i="2"/>
  <c r="AP13" i="5"/>
  <c r="AQ13" i="5"/>
  <c r="R45" i="2"/>
  <c r="R49" i="2"/>
  <c r="AP10" i="6"/>
  <c r="AQ10" i="6"/>
  <c r="X10" i="6"/>
  <c r="AO10" i="6"/>
  <c r="W10" i="6"/>
  <c r="AP13" i="4"/>
  <c r="AQ13" i="4"/>
  <c r="X13" i="4"/>
  <c r="AO13" i="4"/>
  <c r="W13" i="4"/>
  <c r="AP14" i="6"/>
  <c r="AQ14" i="6"/>
  <c r="X14" i="6"/>
  <c r="AO14" i="6"/>
  <c r="W14" i="6"/>
  <c r="AQ12" i="6"/>
  <c r="AQ10" i="4"/>
  <c r="X10" i="4"/>
  <c r="AO10" i="4"/>
  <c r="W10" i="4"/>
  <c r="AP10" i="4"/>
  <c r="AQ8" i="6"/>
  <c r="AP7" i="3"/>
  <c r="AQ7" i="3"/>
  <c r="AP7" i="5"/>
  <c r="R52" i="2"/>
  <c r="R24" i="2"/>
  <c r="AQ10" i="3"/>
  <c r="AP10" i="3"/>
  <c r="AP13" i="3"/>
  <c r="AQ13" i="3"/>
  <c r="AI27" i="2"/>
  <c r="R27" i="2"/>
  <c r="C61" i="2"/>
  <c r="B16" i="1"/>
  <c r="AP9" i="3"/>
  <c r="AQ9" i="3"/>
  <c r="X9" i="3"/>
  <c r="AO9" i="3"/>
  <c r="W9" i="3"/>
  <c r="X12" i="4"/>
  <c r="AQ8" i="3"/>
  <c r="AP8" i="3"/>
  <c r="AP9" i="5"/>
  <c r="AQ9" i="5"/>
  <c r="X9" i="5"/>
  <c r="AO9" i="5"/>
  <c r="W9" i="5"/>
  <c r="AP15" i="5"/>
  <c r="AQ15" i="5"/>
  <c r="X15" i="5"/>
  <c r="AO15" i="5"/>
  <c r="W15" i="5"/>
  <c r="AI22" i="2"/>
  <c r="R22" i="2"/>
  <c r="R47" i="2"/>
  <c r="AP15" i="3"/>
  <c r="AQ15" i="3"/>
  <c r="X15" i="3"/>
  <c r="AO15" i="3"/>
  <c r="W15" i="3"/>
  <c r="X15" i="4"/>
  <c r="AO15" i="4"/>
  <c r="W15" i="4"/>
  <c r="X12" i="5"/>
  <c r="R28" i="2"/>
  <c r="R44" i="2"/>
  <c r="X8" i="5"/>
  <c r="X7" i="3"/>
  <c r="X13" i="5"/>
  <c r="AO13" i="5"/>
  <c r="W13" i="5"/>
  <c r="R21" i="2"/>
  <c r="AO12" i="4"/>
  <c r="W12" i="4"/>
  <c r="X12" i="3"/>
  <c r="X13" i="6"/>
  <c r="AO13" i="6"/>
  <c r="W13" i="6"/>
  <c r="F54" i="2"/>
  <c r="F55" i="2"/>
  <c r="F56" i="2"/>
  <c r="F57" i="2"/>
  <c r="I55" i="2"/>
  <c r="I57" i="2"/>
  <c r="G54" i="2"/>
  <c r="G56" i="2"/>
  <c r="G55" i="2"/>
  <c r="G57" i="2"/>
  <c r="I54" i="2"/>
  <c r="I56" i="2"/>
  <c r="X14" i="3"/>
  <c r="AO14" i="3"/>
  <c r="W14" i="3"/>
  <c r="R26" i="2"/>
  <c r="X13" i="3"/>
  <c r="AO13" i="3"/>
  <c r="W13" i="3"/>
  <c r="H22" i="5"/>
  <c r="G32" i="5"/>
  <c r="E40" i="5"/>
  <c r="E7" i="1"/>
  <c r="AO12" i="5"/>
  <c r="W12" i="5"/>
  <c r="H21" i="5"/>
  <c r="G26" i="5"/>
  <c r="E34" i="5"/>
  <c r="E43" i="5"/>
  <c r="E10" i="1"/>
  <c r="R23" i="2"/>
  <c r="X12" i="6"/>
  <c r="F49" i="2"/>
  <c r="I51" i="2"/>
  <c r="G52" i="2"/>
  <c r="G49" i="2"/>
  <c r="F50" i="2"/>
  <c r="I52" i="2"/>
  <c r="F51" i="2"/>
  <c r="F52" i="2"/>
  <c r="G51" i="2"/>
  <c r="G50" i="2"/>
  <c r="I49" i="2"/>
  <c r="I50" i="2"/>
  <c r="X8" i="4"/>
  <c r="AO8" i="4"/>
  <c r="W8" i="4"/>
  <c r="X9" i="4"/>
  <c r="AO9" i="4"/>
  <c r="W9" i="4"/>
  <c r="X8" i="3"/>
  <c r="AO8" i="3"/>
  <c r="W8" i="3"/>
  <c r="X14" i="4"/>
  <c r="AO14" i="4"/>
  <c r="W14" i="4"/>
  <c r="X10" i="3"/>
  <c r="AO10" i="3"/>
  <c r="W10" i="3"/>
  <c r="X14" i="5"/>
  <c r="AO14" i="5"/>
  <c r="W14" i="5"/>
  <c r="X8" i="6"/>
  <c r="AO8" i="6"/>
  <c r="W8" i="6"/>
  <c r="X7" i="4"/>
  <c r="R29" i="2"/>
  <c r="X15" i="6"/>
  <c r="AO15" i="6"/>
  <c r="W15" i="6"/>
  <c r="X7" i="6"/>
  <c r="E21" i="2"/>
  <c r="I21" i="2"/>
  <c r="F22" i="2"/>
  <c r="H23" i="2"/>
  <c r="F24" i="2"/>
  <c r="H26" i="2"/>
  <c r="J28" i="2"/>
  <c r="F21" i="2"/>
  <c r="E22" i="2"/>
  <c r="G23" i="2"/>
  <c r="H24" i="2"/>
  <c r="J26" i="2"/>
  <c r="J27" i="2"/>
  <c r="G21" i="2"/>
  <c r="G22" i="2"/>
  <c r="I23" i="2"/>
  <c r="I24" i="2"/>
  <c r="J29" i="2"/>
  <c r="H21" i="2"/>
  <c r="H22" i="2"/>
  <c r="E23" i="2"/>
  <c r="E24" i="2"/>
  <c r="I22" i="2"/>
  <c r="H27" i="2"/>
  <c r="G24" i="2"/>
  <c r="H28" i="2"/>
  <c r="F23" i="2"/>
  <c r="H29" i="2"/>
  <c r="H23" i="5"/>
  <c r="G30" i="5"/>
  <c r="E38" i="5"/>
  <c r="E5" i="1"/>
  <c r="H21" i="3"/>
  <c r="G26" i="3"/>
  <c r="E35" i="3"/>
  <c r="E44" i="3"/>
  <c r="C10" i="1"/>
  <c r="H23" i="3"/>
  <c r="G31" i="3"/>
  <c r="E40" i="3"/>
  <c r="C6" i="1"/>
  <c r="AO12" i="3"/>
  <c r="W12" i="3"/>
  <c r="H22" i="3"/>
  <c r="G33" i="3"/>
  <c r="E42" i="3"/>
  <c r="C8" i="1"/>
  <c r="H20" i="3"/>
  <c r="E28" i="3"/>
  <c r="G35" i="3"/>
  <c r="E43" i="3"/>
  <c r="C9" i="1"/>
  <c r="AO12" i="6"/>
  <c r="W12" i="6"/>
  <c r="H20" i="6"/>
  <c r="E28" i="6"/>
  <c r="G34" i="6"/>
  <c r="E43" i="6"/>
  <c r="F10" i="1"/>
  <c r="H22" i="6"/>
  <c r="G32" i="6"/>
  <c r="E41" i="6"/>
  <c r="F8" i="1"/>
  <c r="H23" i="6"/>
  <c r="G30" i="6"/>
  <c r="E38" i="6"/>
  <c r="F5" i="1"/>
  <c r="H21" i="6"/>
  <c r="G26" i="6"/>
  <c r="E34" i="6"/>
  <c r="E42" i="6"/>
  <c r="F9" i="1"/>
  <c r="H20" i="5"/>
  <c r="E28" i="5"/>
  <c r="G36" i="5"/>
  <c r="E44" i="5"/>
  <c r="E11" i="1"/>
  <c r="E27" i="2"/>
  <c r="I27" i="2"/>
  <c r="F28" i="2"/>
  <c r="G29" i="2"/>
  <c r="E26" i="2"/>
  <c r="I28" i="2"/>
  <c r="I29" i="2"/>
  <c r="F26" i="2"/>
  <c r="F27" i="2"/>
  <c r="E28" i="2"/>
  <c r="E29" i="2"/>
  <c r="G26" i="2"/>
  <c r="G27" i="2"/>
  <c r="G28" i="2"/>
  <c r="F29" i="2"/>
  <c r="I26" i="2"/>
  <c r="H23" i="4"/>
  <c r="G30" i="4"/>
  <c r="E39" i="4"/>
  <c r="D6" i="1"/>
  <c r="AO7" i="3"/>
  <c r="W7" i="3"/>
  <c r="E22" i="3"/>
  <c r="E33" i="3"/>
  <c r="E41" i="3"/>
  <c r="C7" i="1"/>
  <c r="E20" i="3"/>
  <c r="E26" i="3"/>
  <c r="E37" i="3"/>
  <c r="E45" i="3"/>
  <c r="C11" i="1"/>
  <c r="E23" i="3"/>
  <c r="E31" i="3"/>
  <c r="E39" i="3"/>
  <c r="C5" i="1"/>
  <c r="E21" i="3"/>
  <c r="G28" i="3"/>
  <c r="G37" i="3"/>
  <c r="E46" i="3"/>
  <c r="C12" i="1"/>
  <c r="E23" i="4"/>
  <c r="E30" i="4"/>
  <c r="E38" i="4"/>
  <c r="D5" i="1"/>
  <c r="AO7" i="4"/>
  <c r="W7" i="4"/>
  <c r="E21" i="6"/>
  <c r="G28" i="6"/>
  <c r="G36" i="6"/>
  <c r="E45" i="6"/>
  <c r="F12" i="1"/>
  <c r="AO7" i="6"/>
  <c r="W7" i="6"/>
  <c r="E20" i="6"/>
  <c r="E26" i="6"/>
  <c r="E36" i="6"/>
  <c r="E44" i="6"/>
  <c r="F11" i="1"/>
  <c r="E22" i="6"/>
  <c r="E32" i="6"/>
  <c r="E40" i="6"/>
  <c r="F7" i="1"/>
  <c r="E23" i="6"/>
  <c r="E30" i="6"/>
  <c r="E39" i="6"/>
  <c r="F6" i="1"/>
  <c r="E21" i="5"/>
  <c r="G28" i="5"/>
  <c r="G34" i="5"/>
  <c r="E42" i="5"/>
  <c r="E9" i="1"/>
  <c r="AO8" i="5"/>
  <c r="W8" i="5"/>
  <c r="E22" i="5"/>
  <c r="E32" i="5"/>
  <c r="E41" i="5"/>
  <c r="E8" i="1"/>
  <c r="E23" i="5"/>
  <c r="E30" i="5"/>
  <c r="E39" i="5"/>
  <c r="E6" i="1"/>
  <c r="G35" i="2"/>
  <c r="T52" i="2"/>
  <c r="E35" i="2"/>
  <c r="T51" i="2"/>
  <c r="G34" i="2"/>
  <c r="T50" i="2"/>
  <c r="E33" i="2"/>
  <c r="T46" i="2"/>
  <c r="G33" i="2"/>
  <c r="T47" i="2"/>
  <c r="E34" i="2"/>
  <c r="T49" i="2"/>
  <c r="E38" i="2"/>
  <c r="G32" i="2"/>
  <c r="T45" i="2"/>
  <c r="E32" i="2"/>
  <c r="T44" i="2"/>
  <c r="E43" i="2"/>
  <c r="E41" i="2"/>
  <c r="E52" i="2"/>
  <c r="B9" i="1"/>
  <c r="G40" i="2"/>
  <c r="G44" i="2"/>
  <c r="E56" i="2"/>
  <c r="B6" i="1"/>
  <c r="G42" i="2"/>
  <c r="G38" i="2"/>
  <c r="E57" i="2"/>
  <c r="B5" i="1"/>
  <c r="E44" i="2"/>
  <c r="E54" i="2"/>
  <c r="B8" i="1"/>
  <c r="G41" i="2"/>
  <c r="G45" i="2"/>
  <c r="E50" i="2"/>
  <c r="B11" i="1"/>
  <c r="G39" i="2"/>
  <c r="G43" i="2"/>
  <c r="E51" i="2"/>
  <c r="B10" i="1"/>
  <c r="E40" i="2"/>
  <c r="E42" i="2"/>
  <c r="E55" i="2"/>
  <c r="B7" i="1"/>
  <c r="E45" i="2"/>
  <c r="E39" i="2"/>
  <c r="E49" i="2"/>
  <c r="B12" i="1"/>
  <c r="D15" i="1" l="1"/>
  <c r="A15" i="1" s="1"/>
</calcChain>
</file>

<file path=xl/sharedStrings.xml><?xml version="1.0" encoding="utf-8"?>
<sst xmlns="http://schemas.openxmlformats.org/spreadsheetml/2006/main" count="829" uniqueCount="112">
  <si>
    <t>Platz</t>
  </si>
  <si>
    <t>D3</t>
  </si>
  <si>
    <t>C2</t>
  </si>
  <si>
    <t>B1</t>
  </si>
  <si>
    <t>D1</t>
  </si>
  <si>
    <t>D2</t>
  </si>
  <si>
    <t>Turnierplan   D3/D4 Jugend</t>
  </si>
  <si>
    <t>Spielzeit</t>
  </si>
  <si>
    <t>Pause</t>
  </si>
  <si>
    <t>A</t>
  </si>
  <si>
    <t>-</t>
  </si>
  <si>
    <t>Mannschaften</t>
  </si>
  <si>
    <t>B</t>
  </si>
  <si>
    <t>JFG Naab-Regen D3</t>
  </si>
  <si>
    <t>SCTeublitz</t>
  </si>
  <si>
    <t>TSV Neutraubling</t>
  </si>
  <si>
    <t>TB/ASV Regenstauf</t>
  </si>
  <si>
    <t>JFG Naab-Regen D4</t>
  </si>
  <si>
    <t>JFG Schwarze Laber</t>
  </si>
  <si>
    <t>TSV Kareth-Lappersdorf</t>
  </si>
  <si>
    <t>SpVgg Illkofen</t>
  </si>
  <si>
    <t>Gruppe A</t>
  </si>
  <si>
    <t>Punkte</t>
  </si>
  <si>
    <t>Tore</t>
  </si>
  <si>
    <t>Spiel 1</t>
  </si>
  <si>
    <t>Spiel 2</t>
  </si>
  <si>
    <t>Spiel 3</t>
  </si>
  <si>
    <t>1.</t>
  </si>
  <si>
    <t>:</t>
  </si>
  <si>
    <t>2.</t>
  </si>
  <si>
    <t>3.</t>
  </si>
  <si>
    <t>4.</t>
  </si>
  <si>
    <t>Gruppe B</t>
  </si>
  <si>
    <t>Übernahme der direkten Duelle aus der Vorrunde</t>
  </si>
  <si>
    <t>Tore Vorrunde</t>
  </si>
  <si>
    <t>Tore Endrunde</t>
  </si>
  <si>
    <t>Gesamt</t>
  </si>
  <si>
    <t>Spiele</t>
  </si>
  <si>
    <t>Goldgruppe</t>
  </si>
  <si>
    <t>Gr.-Spiel</t>
  </si>
  <si>
    <t>Silbergruppe</t>
  </si>
  <si>
    <t>Beste Torschützen</t>
  </si>
  <si>
    <t>Sikkes, Finn</t>
  </si>
  <si>
    <t>Kovacs, Ambrus</t>
  </si>
  <si>
    <t>JFG Schwarze Laber D3</t>
  </si>
  <si>
    <t>Fomin, Andrey</t>
  </si>
  <si>
    <t>TSV Kareth D3</t>
  </si>
  <si>
    <t>Langlitz, Thomas</t>
  </si>
  <si>
    <t>Turnierplan  C2 Jugend</t>
  </si>
  <si>
    <t>von</t>
  </si>
  <si>
    <t>bs</t>
  </si>
  <si>
    <t>Uhr</t>
  </si>
  <si>
    <t>Vorrunde</t>
  </si>
  <si>
    <t>JFG Naab-Regen C2</t>
  </si>
  <si>
    <t>FSV Prüfening 2</t>
  </si>
  <si>
    <t>JFG Kickers Labertal 2</t>
  </si>
  <si>
    <t>TSV Kareth Lappersdorf 3</t>
  </si>
  <si>
    <t>RT Regensburg</t>
  </si>
  <si>
    <t>FC Tegernheim</t>
  </si>
  <si>
    <t>(SG) SV Eggmühl</t>
  </si>
  <si>
    <t>1.FC Schwarzenfeld</t>
  </si>
  <si>
    <t>Halbfinale</t>
  </si>
  <si>
    <t>Regulär</t>
  </si>
  <si>
    <t>Strafstöße</t>
  </si>
  <si>
    <t>Erster Gruppe A</t>
  </si>
  <si>
    <t>Zweiter Gruppe B</t>
  </si>
  <si>
    <t>HF</t>
  </si>
  <si>
    <t>P7</t>
  </si>
  <si>
    <t>Erster Gruppe B</t>
  </si>
  <si>
    <t>Zweiter Gruppe A</t>
  </si>
  <si>
    <t>Platzierungsspiele</t>
  </si>
  <si>
    <t>Vierter Gruppe A</t>
  </si>
  <si>
    <t>Vierter Gruppe B</t>
  </si>
  <si>
    <t>Dritter Gruppe A</t>
  </si>
  <si>
    <t>Dritter Gruppe B</t>
  </si>
  <si>
    <t>P5</t>
  </si>
  <si>
    <t>Verlierer Spiel 13</t>
  </si>
  <si>
    <t>Verlierer Spiel 14</t>
  </si>
  <si>
    <t>P3</t>
  </si>
  <si>
    <t>Gewinner Spiel 13</t>
  </si>
  <si>
    <t>Gewinner Spiel 14</t>
  </si>
  <si>
    <t>P1</t>
  </si>
  <si>
    <t>Turnierplan B1 Jugend</t>
  </si>
  <si>
    <t>JFG Naab-Regen B1</t>
  </si>
  <si>
    <t>JFG Kickers Labertal</t>
  </si>
  <si>
    <t>JFG Obere Vils 08</t>
  </si>
  <si>
    <t>SpVgg Pfreimd</t>
  </si>
  <si>
    <t>JFG Oberpfälzer Seenland</t>
  </si>
  <si>
    <t>FSV Prüfening</t>
  </si>
  <si>
    <t>JFG 3 Schlösser-Eck</t>
  </si>
  <si>
    <t>SV Obertraubling 2</t>
  </si>
  <si>
    <t>JFG 3 Schlösser Eck</t>
  </si>
  <si>
    <t>JFG Naab Regen B1</t>
  </si>
  <si>
    <t>JFG Obere Vils</t>
  </si>
  <si>
    <t>JFG Naab Regen</t>
  </si>
  <si>
    <t>voraussichtliches Turnierende</t>
  </si>
  <si>
    <t xml:space="preserve"> </t>
  </si>
  <si>
    <t>Endrunde D1</t>
  </si>
  <si>
    <t>P</t>
  </si>
  <si>
    <t>JFG Naab-Regen</t>
  </si>
  <si>
    <t>SSV Jahn Futsal</t>
  </si>
  <si>
    <t>JFG Haidau</t>
  </si>
  <si>
    <t>SG TB/ASV Regenstauf</t>
  </si>
  <si>
    <t>JFG FR Seubersdorf</t>
  </si>
  <si>
    <t>Sondertabelle Gruppe A</t>
  </si>
  <si>
    <t>P8</t>
  </si>
  <si>
    <t>P9</t>
  </si>
  <si>
    <t>Freier TuS Regensburg</t>
  </si>
  <si>
    <t>SV Pfatter</t>
  </si>
  <si>
    <t>TSV Großberg</t>
  </si>
  <si>
    <t>VfB Regensburg</t>
  </si>
  <si>
    <t>Tore pro Spiel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</si>
</sst>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&quot; € &quot;;\-#,##0.00&quot; € &quot;;&quot; -&quot;#&quot; € &quot;;@\ "/>
    <numFmt numFmtId="165" formatCode="dddd\,\ mmmm\ dd&quot;, &quot;yyyy"/>
    <numFmt numFmtId="166" formatCode="#,##0.00&quot;    &quot;;\-#,##0.00&quot;    &quot;;&quot; -&quot;#&quot;    &quot;;@\ "/>
    <numFmt numFmtId="167" formatCode="0.0"/>
    <numFmt numFmtId="168" formatCode="h:mm;@"/>
    <numFmt numFmtId="169" formatCode="0.00\ ;[Red]\-0.00\ "/>
    <numFmt numFmtId="170" formatCode="#"/>
  </numFmts>
  <fonts count="25" x14ac:knownFonts="1">
    <font>
      <sz val="10"/>
      <name val="Arial"/>
      <family val="2"/>
    </font>
    <font>
      <sz val="11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63"/>
      <name val="Tahoma"/>
      <family val="2"/>
    </font>
    <font>
      <sz val="11"/>
      <color indexed="16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37"/>
      <name val="Arial"/>
      <family val="2"/>
    </font>
    <font>
      <b/>
      <sz val="10"/>
      <color indexed="37"/>
      <name val="Tahoma"/>
      <family val="2"/>
    </font>
    <font>
      <sz val="10"/>
      <color indexed="63"/>
      <name val="Tahoma"/>
      <family val="2"/>
    </font>
    <font>
      <b/>
      <sz val="9"/>
      <color indexed="8"/>
      <name val="Arial"/>
      <family val="2"/>
    </font>
    <font>
      <b/>
      <sz val="10"/>
      <color indexed="63"/>
      <name val="Tahoma"/>
      <family val="2"/>
    </font>
    <font>
      <b/>
      <sz val="10"/>
      <name val="Arial"/>
      <family val="2"/>
    </font>
    <font>
      <sz val="11"/>
      <color indexed="37"/>
      <name val="Arial"/>
      <family val="2"/>
    </font>
    <font>
      <sz val="10"/>
      <color indexed="37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31"/>
        <b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42"/>
        <bgColor indexed="47"/>
      </patternFill>
    </fill>
    <fill>
      <patternFill patternType="solid">
        <fgColor indexed="44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9">
    <xf numFmtId="0" fontId="0" fillId="0" borderId="0"/>
    <xf numFmtId="166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</cellStyleXfs>
  <cellXfs count="325">
    <xf numFmtId="0" fontId="0" fillId="0" borderId="0" xfId="0"/>
    <xf numFmtId="0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6" applyFont="1" applyFill="1" applyBorder="1" applyAlignment="1" applyProtection="1"/>
    <xf numFmtId="19" fontId="1" fillId="0" borderId="0" xfId="6" applyNumberFormat="1" applyFont="1" applyFill="1" applyBorder="1" applyAlignment="1" applyProtection="1"/>
    <xf numFmtId="0" fontId="1" fillId="0" borderId="0" xfId="6" applyFont="1" applyFill="1" applyBorder="1" applyAlignment="1" applyProtection="1">
      <alignment horizontal="center"/>
    </xf>
    <xf numFmtId="0" fontId="2" fillId="0" borderId="0" xfId="6" applyFont="1" applyFill="1" applyBorder="1" applyAlignment="1" applyProtection="1"/>
    <xf numFmtId="0" fontId="3" fillId="0" borderId="0" xfId="6" applyFont="1" applyFill="1" applyBorder="1" applyAlignment="1" applyProtection="1"/>
    <xf numFmtId="21" fontId="3" fillId="0" borderId="0" xfId="6" applyNumberFormat="1" applyFont="1" applyFill="1" applyBorder="1" applyAlignment="1" applyProtection="1">
      <alignment horizontal="left"/>
    </xf>
    <xf numFmtId="1" fontId="5" fillId="0" borderId="0" xfId="6" applyNumberFormat="1" applyFont="1" applyFill="1" applyBorder="1" applyAlignment="1" applyProtection="1">
      <alignment horizontal="center"/>
    </xf>
    <xf numFmtId="1" fontId="5" fillId="0" borderId="0" xfId="6" applyNumberFormat="1" applyFont="1" applyFill="1" applyBorder="1" applyAlignment="1" applyProtection="1"/>
    <xf numFmtId="1" fontId="1" fillId="0" borderId="0" xfId="6" applyNumberFormat="1" applyFont="1" applyFill="1" applyBorder="1" applyAlignment="1" applyProtection="1"/>
    <xf numFmtId="0" fontId="6" fillId="0" borderId="0" xfId="6" applyFont="1" applyFill="1" applyBorder="1" applyAlignment="1" applyProtection="1"/>
    <xf numFmtId="19" fontId="6" fillId="0" borderId="0" xfId="6" applyNumberFormat="1" applyFont="1" applyFill="1" applyBorder="1" applyAlignment="1" applyProtection="1"/>
    <xf numFmtId="21" fontId="5" fillId="0" borderId="0" xfId="6" applyNumberFormat="1" applyFont="1" applyFill="1" applyBorder="1" applyAlignment="1" applyProtection="1">
      <alignment horizontal="left"/>
    </xf>
    <xf numFmtId="0" fontId="1" fillId="0" borderId="2" xfId="6" applyFont="1" applyFill="1" applyBorder="1" applyAlignment="1" applyProtection="1">
      <alignment horizontal="center"/>
    </xf>
    <xf numFmtId="1" fontId="6" fillId="0" borderId="2" xfId="6" applyNumberFormat="1" applyFont="1" applyFill="1" applyBorder="1" applyAlignment="1" applyProtection="1"/>
    <xf numFmtId="20" fontId="6" fillId="0" borderId="2" xfId="6" applyNumberFormat="1" applyFont="1" applyFill="1" applyBorder="1" applyAlignment="1" applyProtection="1">
      <alignment horizontal="center" vertical="center"/>
    </xf>
    <xf numFmtId="1" fontId="6" fillId="0" borderId="2" xfId="6" applyNumberFormat="1" applyFont="1" applyFill="1" applyBorder="1" applyAlignment="1" applyProtection="1">
      <alignment horizontal="center"/>
    </xf>
    <xf numFmtId="1" fontId="6" fillId="0" borderId="2" xfId="6" applyNumberFormat="1" applyFont="1" applyFill="1" applyBorder="1" applyAlignment="1" applyProtection="1">
      <protection locked="0"/>
    </xf>
    <xf numFmtId="1" fontId="5" fillId="0" borderId="0" xfId="6" applyNumberFormat="1" applyFont="1" applyFill="1" applyBorder="1" applyAlignment="1" applyProtection="1">
      <alignment horizontal="center" vertical="center"/>
    </xf>
    <xf numFmtId="1" fontId="7" fillId="0" borderId="0" xfId="6" applyNumberFormat="1" applyFont="1" applyFill="1" applyBorder="1" applyAlignment="1" applyProtection="1">
      <alignment horizontal="center" vertical="center"/>
    </xf>
    <xf numFmtId="1" fontId="1" fillId="0" borderId="2" xfId="6" applyNumberFormat="1" applyFont="1" applyFill="1" applyBorder="1" applyAlignment="1" applyProtection="1"/>
    <xf numFmtId="1" fontId="1" fillId="0" borderId="0" xfId="6" applyNumberFormat="1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1" fillId="0" borderId="0" xfId="7" applyFont="1" applyAlignment="1" applyProtection="1">
      <alignment vertical="center" wrapText="1"/>
      <protection locked="0"/>
    </xf>
    <xf numFmtId="0" fontId="1" fillId="0" borderId="0" xfId="6" applyFont="1" applyFill="1" applyBorder="1" applyAlignment="1" applyProtection="1">
      <alignment horizontal="left"/>
    </xf>
    <xf numFmtId="0" fontId="1" fillId="0" borderId="0" xfId="7" applyAlignment="1" applyProtection="1">
      <alignment vertical="center" wrapText="1"/>
    </xf>
    <xf numFmtId="1" fontId="1" fillId="0" borderId="3" xfId="6" applyNumberFormat="1" applyFont="1" applyFill="1" applyBorder="1" applyAlignment="1" applyProtection="1">
      <alignment horizontal="center"/>
    </xf>
    <xf numFmtId="1" fontId="1" fillId="0" borderId="4" xfId="6" applyNumberFormat="1" applyFont="1" applyFill="1" applyBorder="1" applyAlignment="1" applyProtection="1">
      <alignment horizontal="center"/>
    </xf>
    <xf numFmtId="19" fontId="1" fillId="0" borderId="2" xfId="6" applyNumberFormat="1" applyFont="1" applyFill="1" applyBorder="1" applyAlignment="1" applyProtection="1">
      <alignment horizontal="center" vertical="center"/>
    </xf>
    <xf numFmtId="0" fontId="1" fillId="3" borderId="2" xfId="6" applyFont="1" applyFill="1" applyBorder="1" applyAlignment="1" applyProtection="1"/>
    <xf numFmtId="1" fontId="1" fillId="3" borderId="2" xfId="6" applyNumberFormat="1" applyFont="1" applyFill="1" applyBorder="1" applyAlignment="1" applyProtection="1">
      <alignment horizontal="center" textRotation="180"/>
    </xf>
    <xf numFmtId="1" fontId="1" fillId="3" borderId="2" xfId="6" applyNumberFormat="1" applyFont="1" applyFill="1" applyBorder="1" applyAlignment="1" applyProtection="1">
      <alignment horizontal="center" vertical="center"/>
    </xf>
    <xf numFmtId="0" fontId="1" fillId="3" borderId="2" xfId="6" applyFont="1" applyFill="1" applyBorder="1" applyAlignment="1" applyProtection="1">
      <alignment textRotation="180"/>
    </xf>
    <xf numFmtId="0" fontId="1" fillId="3" borderId="2" xfId="6" applyFont="1" applyFill="1" applyBorder="1" applyAlignment="1" applyProtection="1">
      <alignment horizontal="center"/>
    </xf>
    <xf numFmtId="0" fontId="1" fillId="3" borderId="2" xfId="6" applyNumberFormat="1" applyFont="1" applyFill="1" applyBorder="1" applyAlignment="1" applyProtection="1"/>
    <xf numFmtId="0" fontId="1" fillId="3" borderId="2" xfId="6" applyNumberFormat="1" applyFont="1" applyFill="1" applyBorder="1" applyAlignment="1" applyProtection="1">
      <alignment horizontal="center"/>
    </xf>
    <xf numFmtId="0" fontId="1" fillId="0" borderId="0" xfId="6" applyNumberFormat="1" applyFont="1" applyFill="1" applyBorder="1" applyAlignment="1" applyProtection="1"/>
    <xf numFmtId="0" fontId="1" fillId="3" borderId="2" xfId="6" applyFont="1" applyFill="1" applyBorder="1" applyAlignment="1" applyProtection="1">
      <alignment horizontal="left"/>
    </xf>
    <xf numFmtId="1" fontId="8" fillId="3" borderId="2" xfId="6" applyNumberFormat="1" applyFont="1" applyFill="1" applyBorder="1" applyAlignment="1" applyProtection="1">
      <alignment horizontal="center"/>
    </xf>
    <xf numFmtId="1" fontId="1" fillId="3" borderId="2" xfId="6" applyNumberFormat="1" applyFont="1" applyFill="1" applyBorder="1" applyAlignment="1" applyProtection="1">
      <alignment horizontal="center"/>
    </xf>
    <xf numFmtId="0" fontId="1" fillId="0" borderId="0" xfId="6" applyNumberFormat="1" applyFont="1" applyFill="1" applyBorder="1" applyAlignment="1" applyProtection="1">
      <protection locked="0"/>
    </xf>
    <xf numFmtId="19" fontId="1" fillId="0" borderId="2" xfId="6" applyNumberFormat="1" applyFont="1" applyFill="1" applyBorder="1" applyAlignment="1" applyProtection="1">
      <alignment horizontal="center" textRotation="180"/>
    </xf>
    <xf numFmtId="0" fontId="1" fillId="0" borderId="2" xfId="6" applyFont="1" applyFill="1" applyBorder="1" applyAlignment="1" applyProtection="1">
      <alignment textRotation="180"/>
    </xf>
    <xf numFmtId="0" fontId="1" fillId="4" borderId="2" xfId="6" applyFont="1" applyFill="1" applyBorder="1" applyAlignment="1" applyProtection="1"/>
    <xf numFmtId="1" fontId="1" fillId="4" borderId="2" xfId="6" applyNumberFormat="1" applyFont="1" applyFill="1" applyBorder="1" applyAlignment="1" applyProtection="1">
      <alignment horizontal="center" textRotation="180"/>
    </xf>
    <xf numFmtId="1" fontId="1" fillId="4" borderId="2" xfId="6" applyNumberFormat="1" applyFont="1" applyFill="1" applyBorder="1" applyAlignment="1" applyProtection="1">
      <alignment horizontal="center" vertical="center"/>
    </xf>
    <xf numFmtId="0" fontId="1" fillId="4" borderId="2" xfId="6" applyFont="1" applyFill="1" applyBorder="1" applyAlignment="1" applyProtection="1">
      <alignment textRotation="180"/>
    </xf>
    <xf numFmtId="1" fontId="1" fillId="0" borderId="2" xfId="6" applyNumberFormat="1" applyFont="1" applyFill="1" applyBorder="1" applyAlignment="1" applyProtection="1">
      <alignment horizontal="center"/>
    </xf>
    <xf numFmtId="0" fontId="1" fillId="0" borderId="2" xfId="6" applyFont="1" applyFill="1" applyBorder="1" applyAlignment="1" applyProtection="1"/>
    <xf numFmtId="0" fontId="1" fillId="4" borderId="2" xfId="6" applyFont="1" applyFill="1" applyBorder="1" applyAlignment="1" applyProtection="1">
      <alignment horizontal="left"/>
    </xf>
    <xf numFmtId="1" fontId="8" fillId="4" borderId="2" xfId="6" applyNumberFormat="1" applyFont="1" applyFill="1" applyBorder="1" applyAlignment="1" applyProtection="1">
      <alignment horizontal="center"/>
    </xf>
    <xf numFmtId="1" fontId="1" fillId="4" borderId="2" xfId="6" applyNumberFormat="1" applyFont="1" applyFill="1" applyBorder="1" applyAlignment="1" applyProtection="1">
      <alignment horizontal="center"/>
    </xf>
    <xf numFmtId="1" fontId="1" fillId="4" borderId="2" xfId="6" applyNumberFormat="1" applyFont="1" applyFill="1" applyBorder="1" applyAlignment="1" applyProtection="1"/>
    <xf numFmtId="0" fontId="1" fillId="0" borderId="1" xfId="6" applyFont="1" applyFill="1" applyBorder="1" applyAlignment="1" applyProtection="1">
      <alignment horizontal="center"/>
    </xf>
    <xf numFmtId="0" fontId="1" fillId="2" borderId="2" xfId="6" applyFont="1" applyFill="1" applyBorder="1" applyAlignment="1" applyProtection="1"/>
    <xf numFmtId="19" fontId="1" fillId="2" borderId="2" xfId="6" applyNumberFormat="1" applyFont="1" applyFill="1" applyBorder="1" applyAlignment="1" applyProtection="1"/>
    <xf numFmtId="0" fontId="1" fillId="2" borderId="2" xfId="6" applyFont="1" applyFill="1" applyBorder="1" applyAlignment="1" applyProtection="1">
      <alignment horizontal="center"/>
    </xf>
    <xf numFmtId="0" fontId="1" fillId="2" borderId="2" xfId="6" applyFont="1" applyFill="1" applyBorder="1" applyAlignment="1" applyProtection="1">
      <protection locked="0"/>
    </xf>
    <xf numFmtId="0" fontId="1" fillId="5" borderId="2" xfId="6" applyFont="1" applyFill="1" applyBorder="1" applyAlignment="1" applyProtection="1"/>
    <xf numFmtId="19" fontId="1" fillId="5" borderId="2" xfId="6" applyNumberFormat="1" applyFont="1" applyFill="1" applyBorder="1" applyAlignment="1" applyProtection="1"/>
    <xf numFmtId="0" fontId="1" fillId="5" borderId="2" xfId="6" applyFont="1" applyFill="1" applyBorder="1" applyAlignment="1" applyProtection="1">
      <protection locked="0"/>
    </xf>
    <xf numFmtId="0" fontId="1" fillId="0" borderId="0" xfId="7" applyFont="1" applyFill="1" applyBorder="1" applyProtection="1"/>
    <xf numFmtId="20" fontId="1" fillId="0" borderId="2" xfId="6" applyNumberFormat="1" applyFont="1" applyFill="1" applyBorder="1" applyAlignment="1" applyProtection="1">
      <alignment horizontal="center" vertical="center"/>
    </xf>
    <xf numFmtId="20" fontId="1" fillId="2" borderId="2" xfId="6" applyNumberFormat="1" applyFont="1" applyFill="1" applyBorder="1" applyAlignment="1" applyProtection="1">
      <alignment horizontal="center"/>
    </xf>
    <xf numFmtId="1" fontId="1" fillId="2" borderId="2" xfId="6" applyNumberFormat="1" applyFont="1" applyFill="1" applyBorder="1" applyAlignment="1" applyProtection="1">
      <alignment horizontal="center" textRotation="180"/>
    </xf>
    <xf numFmtId="1" fontId="1" fillId="2" borderId="2" xfId="6" applyNumberFormat="1" applyFont="1" applyFill="1" applyBorder="1" applyAlignment="1" applyProtection="1">
      <alignment horizontal="center" vertical="center"/>
    </xf>
    <xf numFmtId="0" fontId="1" fillId="2" borderId="2" xfId="6" applyFont="1" applyFill="1" applyBorder="1" applyAlignment="1" applyProtection="1">
      <alignment textRotation="180"/>
    </xf>
    <xf numFmtId="1" fontId="1" fillId="2" borderId="2" xfId="6" applyNumberFormat="1" applyFont="1" applyFill="1" applyBorder="1" applyAlignment="1" applyProtection="1">
      <alignment horizontal="center"/>
    </xf>
    <xf numFmtId="0" fontId="1" fillId="2" borderId="2" xfId="2" applyFont="1" applyFill="1" applyBorder="1" applyAlignment="1" applyProtection="1">
      <alignment horizontal="center"/>
    </xf>
    <xf numFmtId="0" fontId="1" fillId="2" borderId="3" xfId="2" applyFont="1" applyFill="1" applyBorder="1" applyAlignment="1" applyProtection="1">
      <alignment horizontal="center"/>
    </xf>
    <xf numFmtId="0" fontId="1" fillId="2" borderId="6" xfId="6" applyFont="1" applyFill="1" applyBorder="1" applyAlignment="1" applyProtection="1"/>
    <xf numFmtId="0" fontId="1" fillId="2" borderId="7" xfId="6" applyFont="1" applyFill="1" applyBorder="1" applyAlignment="1" applyProtection="1">
      <alignment horizontal="center"/>
    </xf>
    <xf numFmtId="1" fontId="1" fillId="2" borderId="8" xfId="6" applyNumberFormat="1" applyFont="1" applyFill="1" applyBorder="1" applyAlignment="1" applyProtection="1">
      <alignment horizontal="center"/>
    </xf>
    <xf numFmtId="0" fontId="1" fillId="2" borderId="9" xfId="6" applyFont="1" applyFill="1" applyBorder="1" applyAlignment="1" applyProtection="1"/>
    <xf numFmtId="1" fontId="1" fillId="2" borderId="3" xfId="6" applyNumberFormat="1" applyFont="1" applyFill="1" applyBorder="1" applyAlignment="1" applyProtection="1">
      <alignment horizontal="center"/>
    </xf>
    <xf numFmtId="0" fontId="1" fillId="2" borderId="10" xfId="6" applyFont="1" applyFill="1" applyBorder="1" applyAlignment="1" applyProtection="1"/>
    <xf numFmtId="1" fontId="1" fillId="2" borderId="11" xfId="6" applyNumberFormat="1" applyFont="1" applyFill="1" applyBorder="1" applyAlignment="1" applyProtection="1">
      <alignment horizontal="center"/>
    </xf>
    <xf numFmtId="0" fontId="1" fillId="0" borderId="2" xfId="7" applyFont="1" applyFill="1" applyBorder="1" applyProtection="1"/>
    <xf numFmtId="0" fontId="1" fillId="0" borderId="2" xfId="7" applyFont="1" applyFill="1" applyBorder="1" applyProtection="1">
      <protection locked="0"/>
    </xf>
    <xf numFmtId="1" fontId="9" fillId="2" borderId="2" xfId="6" applyNumberFormat="1" applyFont="1" applyFill="1" applyBorder="1" applyAlignment="1" applyProtection="1">
      <alignment horizontal="center"/>
    </xf>
    <xf numFmtId="0" fontId="1" fillId="2" borderId="12" xfId="6" applyFont="1" applyFill="1" applyBorder="1" applyAlignment="1" applyProtection="1"/>
    <xf numFmtId="0" fontId="1" fillId="2" borderId="13" xfId="6" applyFont="1" applyFill="1" applyBorder="1" applyAlignment="1" applyProtection="1">
      <alignment horizontal="center"/>
    </xf>
    <xf numFmtId="1" fontId="1" fillId="2" borderId="14" xfId="6" applyNumberFormat="1" applyFont="1" applyFill="1" applyBorder="1" applyAlignment="1" applyProtection="1">
      <alignment horizontal="center"/>
    </xf>
    <xf numFmtId="0" fontId="1" fillId="0" borderId="3" xfId="6" applyFont="1" applyFill="1" applyBorder="1" applyAlignment="1" applyProtection="1">
      <alignment horizontal="center"/>
    </xf>
    <xf numFmtId="0" fontId="1" fillId="0" borderId="4" xfId="6" applyFont="1" applyFill="1" applyBorder="1" applyAlignment="1" applyProtection="1">
      <alignment horizontal="center"/>
    </xf>
    <xf numFmtId="0" fontId="1" fillId="0" borderId="9" xfId="6" applyFont="1" applyFill="1" applyBorder="1" applyAlignment="1" applyProtection="1">
      <alignment horizontal="center"/>
    </xf>
    <xf numFmtId="0" fontId="1" fillId="6" borderId="2" xfId="6" applyFont="1" applyFill="1" applyBorder="1" applyAlignment="1" applyProtection="1"/>
    <xf numFmtId="20" fontId="1" fillId="6" borderId="2" xfId="6" applyNumberFormat="1" applyFont="1" applyFill="1" applyBorder="1" applyAlignment="1" applyProtection="1">
      <alignment horizontal="center"/>
    </xf>
    <xf numFmtId="1" fontId="1" fillId="6" borderId="2" xfId="6" applyNumberFormat="1" applyFont="1" applyFill="1" applyBorder="1" applyAlignment="1" applyProtection="1">
      <alignment horizontal="center" textRotation="180"/>
    </xf>
    <xf numFmtId="1" fontId="1" fillId="6" borderId="2" xfId="6" applyNumberFormat="1" applyFont="1" applyFill="1" applyBorder="1" applyAlignment="1" applyProtection="1">
      <alignment horizontal="center" vertical="center"/>
    </xf>
    <xf numFmtId="0" fontId="1" fillId="6" borderId="2" xfId="6" applyFont="1" applyFill="1" applyBorder="1" applyAlignment="1" applyProtection="1">
      <alignment textRotation="180"/>
    </xf>
    <xf numFmtId="19" fontId="10" fillId="0" borderId="2" xfId="6" applyNumberFormat="1" applyFont="1" applyFill="1" applyBorder="1" applyAlignment="1" applyProtection="1">
      <alignment horizontal="center" vertical="center"/>
    </xf>
    <xf numFmtId="1" fontId="9" fillId="6" borderId="2" xfId="6" applyNumberFormat="1" applyFont="1" applyFill="1" applyBorder="1" applyAlignment="1" applyProtection="1">
      <alignment horizontal="center"/>
    </xf>
    <xf numFmtId="1" fontId="1" fillId="6" borderId="2" xfId="6" applyNumberFormat="1" applyFont="1" applyFill="1" applyBorder="1" applyAlignment="1" applyProtection="1">
      <alignment horizontal="center"/>
    </xf>
    <xf numFmtId="1" fontId="1" fillId="6" borderId="3" xfId="6" applyNumberFormat="1" applyFont="1" applyFill="1" applyBorder="1" applyAlignment="1" applyProtection="1">
      <alignment horizontal="center"/>
    </xf>
    <xf numFmtId="0" fontId="1" fillId="6" borderId="6" xfId="6" applyFont="1" applyFill="1" applyBorder="1" applyAlignment="1" applyProtection="1"/>
    <xf numFmtId="0" fontId="1" fillId="6" borderId="7" xfId="6" applyFont="1" applyFill="1" applyBorder="1" applyAlignment="1" applyProtection="1">
      <alignment horizontal="center"/>
    </xf>
    <xf numFmtId="1" fontId="1" fillId="6" borderId="8" xfId="6" applyNumberFormat="1" applyFont="1" applyFill="1" applyBorder="1" applyAlignment="1" applyProtection="1">
      <alignment horizontal="center"/>
    </xf>
    <xf numFmtId="0" fontId="1" fillId="6" borderId="9" xfId="6" applyFont="1" applyFill="1" applyBorder="1" applyAlignment="1" applyProtection="1"/>
    <xf numFmtId="0" fontId="1" fillId="6" borderId="2" xfId="6" applyFont="1" applyFill="1" applyBorder="1" applyAlignment="1" applyProtection="1">
      <alignment horizontal="center"/>
    </xf>
    <xf numFmtId="0" fontId="1" fillId="6" borderId="9" xfId="6" applyFont="1" applyFill="1" applyBorder="1" applyAlignment="1" applyProtection="1">
      <alignment horizontal="center"/>
    </xf>
    <xf numFmtId="19" fontId="10" fillId="0" borderId="2" xfId="6" applyNumberFormat="1" applyFont="1" applyFill="1" applyBorder="1" applyAlignment="1" applyProtection="1">
      <alignment horizontal="center" vertical="center" textRotation="135"/>
    </xf>
    <xf numFmtId="0" fontId="1" fillId="6" borderId="2" xfId="2" applyFont="1" applyFill="1" applyBorder="1" applyAlignment="1" applyProtection="1">
      <alignment horizontal="center"/>
    </xf>
    <xf numFmtId="0" fontId="1" fillId="6" borderId="3" xfId="2" applyFont="1" applyFill="1" applyBorder="1" applyAlignment="1" applyProtection="1">
      <alignment horizontal="center"/>
    </xf>
    <xf numFmtId="0" fontId="1" fillId="6" borderId="10" xfId="6" applyFont="1" applyFill="1" applyBorder="1" applyAlignment="1" applyProtection="1"/>
    <xf numFmtId="1" fontId="1" fillId="6" borderId="11" xfId="6" applyNumberFormat="1" applyFont="1" applyFill="1" applyBorder="1" applyAlignment="1" applyProtection="1">
      <alignment horizontal="center"/>
    </xf>
    <xf numFmtId="1" fontId="1" fillId="6" borderId="9" xfId="6" applyNumberFormat="1" applyFont="1" applyFill="1" applyBorder="1" applyAlignment="1" applyProtection="1">
      <alignment horizontal="center"/>
    </xf>
    <xf numFmtId="0" fontId="1" fillId="6" borderId="12" xfId="6" applyFont="1" applyFill="1" applyBorder="1" applyAlignment="1" applyProtection="1"/>
    <xf numFmtId="0" fontId="1" fillId="6" borderId="13" xfId="6" applyFont="1" applyFill="1" applyBorder="1" applyAlignment="1" applyProtection="1">
      <alignment horizontal="center"/>
    </xf>
    <xf numFmtId="1" fontId="1" fillId="6" borderId="14" xfId="6" applyNumberFormat="1" applyFont="1" applyFill="1" applyBorder="1" applyAlignment="1" applyProtection="1">
      <alignment horizontal="center"/>
    </xf>
    <xf numFmtId="19" fontId="1" fillId="0" borderId="0" xfId="6" applyNumberFormat="1" applyFont="1" applyFill="1" applyBorder="1" applyAlignment="1" applyProtection="1">
      <alignment horizontal="center"/>
    </xf>
    <xf numFmtId="2" fontId="1" fillId="0" borderId="0" xfId="6" applyNumberFormat="1" applyFont="1" applyFill="1" applyBorder="1" applyAlignment="1" applyProtection="1"/>
    <xf numFmtId="167" fontId="1" fillId="0" borderId="0" xfId="6" applyNumberFormat="1" applyFont="1" applyFill="1" applyBorder="1" applyAlignment="1" applyProtection="1"/>
    <xf numFmtId="0" fontId="1" fillId="0" borderId="0" xfId="8" applyNumberFormat="1" applyFont="1" applyFill="1" applyBorder="1" applyAlignment="1" applyProtection="1"/>
    <xf numFmtId="20" fontId="1" fillId="0" borderId="0" xfId="8" applyNumberFormat="1" applyFont="1" applyFill="1" applyBorder="1" applyAlignment="1" applyProtection="1"/>
    <xf numFmtId="0" fontId="1" fillId="0" borderId="0" xfId="8" applyNumberFormat="1" applyFont="1" applyFill="1" applyBorder="1" applyAlignment="1" applyProtection="1">
      <alignment horizontal="center"/>
    </xf>
    <xf numFmtId="0" fontId="11" fillId="0" borderId="0" xfId="8" applyNumberFormat="1" applyFont="1" applyFill="1" applyBorder="1" applyAlignment="1" applyProtection="1"/>
    <xf numFmtId="0" fontId="12" fillId="0" borderId="0" xfId="8" applyNumberFormat="1" applyFont="1" applyFill="1" applyBorder="1" applyAlignment="1" applyProtection="1">
      <alignment horizontal="center"/>
    </xf>
    <xf numFmtId="0" fontId="12" fillId="0" borderId="0" xfId="8" applyNumberFormat="1" applyFont="1" applyFill="1" applyBorder="1" applyAlignment="1" applyProtection="1"/>
    <xf numFmtId="0" fontId="13" fillId="0" borderId="0" xfId="8" applyNumberFormat="1" applyFont="1" applyFill="1" applyBorder="1" applyAlignment="1" applyProtection="1"/>
    <xf numFmtId="14" fontId="12" fillId="0" borderId="0" xfId="8" applyNumberFormat="1" applyFont="1" applyFill="1" applyBorder="1" applyAlignment="1" applyProtection="1">
      <alignment horizontal="center"/>
    </xf>
    <xf numFmtId="0" fontId="12" fillId="0" borderId="2" xfId="8" applyNumberFormat="1" applyFont="1" applyFill="1" applyBorder="1" applyAlignment="1" applyProtection="1">
      <alignment horizontal="center"/>
    </xf>
    <xf numFmtId="1" fontId="12" fillId="0" borderId="0" xfId="8" applyNumberFormat="1" applyFont="1" applyFill="1" applyBorder="1" applyAlignment="1" applyProtection="1"/>
    <xf numFmtId="21" fontId="12" fillId="0" borderId="0" xfId="8" applyNumberFormat="1" applyFont="1" applyFill="1" applyBorder="1" applyAlignment="1" applyProtection="1">
      <alignment horizontal="center"/>
    </xf>
    <xf numFmtId="20" fontId="12" fillId="0" borderId="0" xfId="8" applyNumberFormat="1" applyFont="1" applyFill="1" applyBorder="1" applyAlignment="1" applyProtection="1">
      <alignment horizontal="center"/>
    </xf>
    <xf numFmtId="0" fontId="12" fillId="0" borderId="16" xfId="8" applyNumberFormat="1" applyFont="1" applyFill="1" applyBorder="1" applyAlignment="1" applyProtection="1">
      <alignment horizontal="center"/>
    </xf>
    <xf numFmtId="0" fontId="12" fillId="0" borderId="16" xfId="8" applyNumberFormat="1" applyFont="1" applyFill="1" applyBorder="1" applyAlignment="1" applyProtection="1"/>
    <xf numFmtId="21" fontId="12" fillId="0" borderId="16" xfId="8" applyNumberFormat="1" applyFont="1" applyFill="1" applyBorder="1" applyAlignment="1" applyProtection="1">
      <alignment horizontal="center"/>
    </xf>
    <xf numFmtId="1" fontId="12" fillId="0" borderId="18" xfId="8" applyNumberFormat="1" applyFont="1" applyFill="1" applyBorder="1" applyAlignment="1" applyProtection="1"/>
    <xf numFmtId="1" fontId="12" fillId="0" borderId="19" xfId="8" applyNumberFormat="1" applyFont="1" applyFill="1" applyBorder="1" applyAlignment="1" applyProtection="1">
      <alignment horizontal="center"/>
      <protection locked="0"/>
    </xf>
    <xf numFmtId="1" fontId="12" fillId="0" borderId="19" xfId="8" applyNumberFormat="1" applyFont="1" applyFill="1" applyBorder="1" applyAlignment="1" applyProtection="1">
      <alignment horizontal="center"/>
    </xf>
    <xf numFmtId="0" fontId="12" fillId="0" borderId="0" xfId="8" applyNumberFormat="1" applyFont="1" applyFill="1" applyBorder="1" applyAlignment="1" applyProtection="1">
      <alignment horizontal="left"/>
    </xf>
    <xf numFmtId="2" fontId="12" fillId="0" borderId="0" xfId="8" applyNumberFormat="1" applyFont="1" applyFill="1" applyBorder="1" applyAlignment="1" applyProtection="1"/>
    <xf numFmtId="1" fontId="12" fillId="0" borderId="0" xfId="8" applyNumberFormat="1" applyFont="1" applyFill="1" applyBorder="1" applyAlignment="1" applyProtection="1">
      <alignment horizontal="center"/>
    </xf>
    <xf numFmtId="1" fontId="13" fillId="0" borderId="0" xfId="8" applyNumberFormat="1" applyFont="1" applyFill="1" applyBorder="1" applyAlignment="1" applyProtection="1">
      <alignment horizontal="center"/>
    </xf>
    <xf numFmtId="0" fontId="12" fillId="0" borderId="2" xfId="8" applyNumberFormat="1" applyFont="1" applyFill="1" applyBorder="1" applyAlignment="1" applyProtection="1"/>
    <xf numFmtId="21" fontId="12" fillId="0" borderId="2" xfId="8" applyNumberFormat="1" applyFont="1" applyFill="1" applyBorder="1" applyAlignment="1" applyProtection="1">
      <alignment horizontal="center"/>
    </xf>
    <xf numFmtId="1" fontId="14" fillId="0" borderId="0" xfId="8" applyNumberFormat="1" applyFont="1" applyFill="1" applyBorder="1" applyAlignment="1" applyProtection="1">
      <alignment horizontal="center" vertical="center"/>
    </xf>
    <xf numFmtId="0" fontId="12" fillId="0" borderId="0" xfId="8" applyNumberFormat="1" applyFont="1" applyFill="1" applyBorder="1" applyAlignment="1" applyProtection="1">
      <alignment horizontal="center" vertical="center"/>
    </xf>
    <xf numFmtId="0" fontId="12" fillId="2" borderId="3" xfId="8" applyNumberFormat="1" applyFont="1" applyFill="1" applyBorder="1" applyAlignment="1" applyProtection="1"/>
    <xf numFmtId="0" fontId="12" fillId="2" borderId="9" xfId="8" applyNumberFormat="1" applyFont="1" applyFill="1" applyBorder="1" applyAlignment="1" applyProtection="1"/>
    <xf numFmtId="2" fontId="15" fillId="2" borderId="3" xfId="8" applyNumberFormat="1" applyFont="1" applyFill="1" applyBorder="1" applyAlignment="1" applyProtection="1"/>
    <xf numFmtId="2" fontId="15" fillId="2" borderId="4" xfId="8" applyNumberFormat="1" applyFont="1" applyFill="1" applyBorder="1" applyAlignment="1" applyProtection="1"/>
    <xf numFmtId="2" fontId="15" fillId="2" borderId="9" xfId="8" applyNumberFormat="1" applyFont="1" applyFill="1" applyBorder="1" applyAlignment="1" applyProtection="1"/>
    <xf numFmtId="1" fontId="15" fillId="2" borderId="3" xfId="8" applyNumberFormat="1" applyFont="1" applyFill="1" applyBorder="1" applyAlignment="1" applyProtection="1"/>
    <xf numFmtId="1" fontId="15" fillId="2" borderId="4" xfId="8" applyNumberFormat="1" applyFont="1" applyFill="1" applyBorder="1" applyAlignment="1" applyProtection="1"/>
    <xf numFmtId="1" fontId="15" fillId="2" borderId="9" xfId="8" applyNumberFormat="1" applyFont="1" applyFill="1" applyBorder="1" applyAlignment="1" applyProtection="1"/>
    <xf numFmtId="1" fontId="16" fillId="2" borderId="2" xfId="8" applyNumberFormat="1" applyFont="1" applyFill="1" applyBorder="1" applyAlignment="1" applyProtection="1">
      <alignment horizontal="center"/>
    </xf>
    <xf numFmtId="1" fontId="15" fillId="2" borderId="2" xfId="8" applyNumberFormat="1" applyFont="1" applyFill="1" applyBorder="1" applyAlignment="1" applyProtection="1">
      <alignment horizontal="center"/>
    </xf>
    <xf numFmtId="0" fontId="12" fillId="2" borderId="2" xfId="8" applyNumberFormat="1" applyFont="1" applyFill="1" applyBorder="1" applyAlignment="1" applyProtection="1"/>
    <xf numFmtId="1" fontId="12" fillId="0" borderId="3" xfId="8" applyNumberFormat="1" applyFont="1" applyFill="1" applyBorder="1" applyAlignment="1" applyProtection="1"/>
    <xf numFmtId="169" fontId="14" fillId="0" borderId="0" xfId="8" applyNumberFormat="1" applyFont="1" applyFill="1" applyBorder="1" applyAlignment="1" applyProtection="1"/>
    <xf numFmtId="0" fontId="14" fillId="0" borderId="0" xfId="8" applyNumberFormat="1" applyFont="1" applyFill="1" applyBorder="1" applyAlignment="1" applyProtection="1">
      <alignment horizontal="center"/>
    </xf>
    <xf numFmtId="0" fontId="12" fillId="2" borderId="2" xfId="8" applyNumberFormat="1" applyFont="1" applyFill="1" applyBorder="1" applyAlignment="1" applyProtection="1">
      <alignment horizontal="left"/>
    </xf>
    <xf numFmtId="1" fontId="12" fillId="2" borderId="2" xfId="8" applyNumberFormat="1" applyFont="1" applyFill="1" applyBorder="1" applyAlignment="1" applyProtection="1">
      <alignment horizontal="center"/>
    </xf>
    <xf numFmtId="1" fontId="17" fillId="2" borderId="2" xfId="8" applyNumberFormat="1" applyFont="1" applyFill="1" applyBorder="1" applyAlignment="1" applyProtection="1">
      <alignment horizontal="center"/>
    </xf>
    <xf numFmtId="0" fontId="18" fillId="2" borderId="2" xfId="8" applyNumberFormat="1" applyFont="1" applyFill="1" applyBorder="1" applyAlignment="1" applyProtection="1"/>
    <xf numFmtId="169" fontId="12" fillId="2" borderId="3" xfId="8" applyNumberFormat="1" applyFont="1" applyFill="1" applyBorder="1" applyAlignment="1" applyProtection="1"/>
    <xf numFmtId="0" fontId="6" fillId="0" borderId="0" xfId="8" applyNumberFormat="1" applyFont="1" applyFill="1" applyBorder="1" applyAlignment="1" applyProtection="1"/>
    <xf numFmtId="1" fontId="12" fillId="0" borderId="2" xfId="8" applyNumberFormat="1" applyFont="1" applyFill="1" applyBorder="1" applyAlignment="1" applyProtection="1"/>
    <xf numFmtId="0" fontId="14" fillId="0" borderId="0" xfId="8" applyNumberFormat="1" applyFont="1" applyFill="1" applyBorder="1" applyAlignment="1" applyProtection="1"/>
    <xf numFmtId="0" fontId="12" fillId="3" borderId="3" xfId="8" applyNumberFormat="1" applyFont="1" applyFill="1" applyBorder="1" applyAlignment="1" applyProtection="1"/>
    <xf numFmtId="0" fontId="12" fillId="3" borderId="9" xfId="8" applyNumberFormat="1" applyFont="1" applyFill="1" applyBorder="1" applyAlignment="1" applyProtection="1"/>
    <xf numFmtId="1" fontId="15" fillId="3" borderId="3" xfId="8" applyNumberFormat="1" applyFont="1" applyFill="1" applyBorder="1" applyAlignment="1" applyProtection="1"/>
    <xf numFmtId="1" fontId="15" fillId="3" borderId="4" xfId="8" applyNumberFormat="1" applyFont="1" applyFill="1" applyBorder="1" applyAlignment="1" applyProtection="1"/>
    <xf numFmtId="1" fontId="15" fillId="3" borderId="9" xfId="8" applyNumberFormat="1" applyFont="1" applyFill="1" applyBorder="1" applyAlignment="1" applyProtection="1"/>
    <xf numFmtId="1" fontId="19" fillId="3" borderId="2" xfId="8" applyNumberFormat="1" applyFont="1" applyFill="1" applyBorder="1" applyAlignment="1" applyProtection="1">
      <alignment horizontal="center"/>
    </xf>
    <xf numFmtId="1" fontId="15" fillId="3" borderId="2" xfId="8" applyNumberFormat="1" applyFont="1" applyFill="1" applyBorder="1" applyAlignment="1" applyProtection="1">
      <alignment horizontal="center"/>
    </xf>
    <xf numFmtId="1" fontId="18" fillId="3" borderId="3" xfId="8" applyNumberFormat="1" applyFont="1" applyFill="1" applyBorder="1" applyAlignment="1" applyProtection="1"/>
    <xf numFmtId="0" fontId="12" fillId="3" borderId="2" xfId="8" applyNumberFormat="1" applyFont="1" applyFill="1" applyBorder="1" applyAlignment="1" applyProtection="1"/>
    <xf numFmtId="0" fontId="12" fillId="3" borderId="2" xfId="8" applyNumberFormat="1" applyFont="1" applyFill="1" applyBorder="1" applyAlignment="1" applyProtection="1">
      <alignment horizontal="left"/>
    </xf>
    <xf numFmtId="1" fontId="12" fillId="3" borderId="2" xfId="8" applyNumberFormat="1" applyFont="1" applyFill="1" applyBorder="1" applyAlignment="1" applyProtection="1">
      <alignment horizontal="center"/>
    </xf>
    <xf numFmtId="1" fontId="20" fillId="3" borderId="2" xfId="8" applyNumberFormat="1" applyFont="1" applyFill="1" applyBorder="1" applyAlignment="1" applyProtection="1">
      <alignment horizontal="center"/>
    </xf>
    <xf numFmtId="0" fontId="18" fillId="3" borderId="2" xfId="8" applyNumberFormat="1" applyFont="1" applyFill="1" applyBorder="1" applyAlignment="1" applyProtection="1"/>
    <xf numFmtId="169" fontId="12" fillId="3" borderId="3" xfId="8" applyNumberFormat="1" applyFont="1" applyFill="1" applyBorder="1" applyAlignment="1" applyProtection="1"/>
    <xf numFmtId="20" fontId="12" fillId="0" borderId="2" xfId="8" applyNumberFormat="1" applyFont="1" applyFill="1" applyBorder="1" applyAlignment="1" applyProtection="1">
      <alignment horizontal="center"/>
    </xf>
    <xf numFmtId="2" fontId="12" fillId="0" borderId="0" xfId="8" applyNumberFormat="1" applyFont="1" applyFill="1" applyBorder="1" applyAlignment="1" applyProtection="1">
      <alignment horizontal="left"/>
    </xf>
    <xf numFmtId="0" fontId="21" fillId="0" borderId="0" xfId="0" applyFont="1"/>
    <xf numFmtId="0" fontId="12" fillId="0" borderId="2" xfId="8" applyNumberFormat="1" applyFont="1" applyFill="1" applyBorder="1" applyAlignment="1" applyProtection="1">
      <alignment horizontal="left"/>
    </xf>
    <xf numFmtId="1" fontId="12" fillId="0" borderId="2" xfId="8" applyNumberFormat="1" applyFont="1" applyFill="1" applyBorder="1" applyAlignment="1" applyProtection="1">
      <alignment horizontal="center"/>
    </xf>
    <xf numFmtId="1" fontId="18" fillId="0" borderId="0" xfId="8" applyNumberFormat="1" applyFont="1" applyFill="1" applyBorder="1" applyAlignment="1" applyProtection="1">
      <alignment horizontal="center"/>
    </xf>
    <xf numFmtId="0" fontId="18" fillId="0" borderId="0" xfId="8" applyNumberFormat="1" applyFont="1" applyFill="1" applyBorder="1" applyAlignment="1" applyProtection="1"/>
    <xf numFmtId="169" fontId="12" fillId="0" borderId="0" xfId="8" applyNumberFormat="1" applyFont="1" applyFill="1" applyBorder="1" applyAlignment="1" applyProtection="1"/>
    <xf numFmtId="0" fontId="13" fillId="0" borderId="0" xfId="8" applyNumberFormat="1" applyFont="1" applyFill="1" applyBorder="1" applyAlignment="1" applyProtection="1">
      <alignment horizontal="center"/>
    </xf>
    <xf numFmtId="0" fontId="12" fillId="7" borderId="2" xfId="8" applyNumberFormat="1" applyFont="1" applyFill="1" applyBorder="1" applyAlignment="1" applyProtection="1">
      <alignment horizontal="center"/>
    </xf>
    <xf numFmtId="0" fontId="1" fillId="0" borderId="0" xfId="3" applyFill="1" applyBorder="1" applyAlignment="1" applyProtection="1"/>
    <xf numFmtId="19" fontId="12" fillId="0" borderId="0" xfId="8" applyNumberFormat="1" applyFont="1" applyFill="1" applyBorder="1" applyAlignment="1" applyProtection="1">
      <alignment horizontal="center"/>
    </xf>
    <xf numFmtId="0" fontId="12" fillId="8" borderId="2" xfId="8" applyNumberFormat="1" applyFont="1" applyFill="1" applyBorder="1" applyAlignment="1" applyProtection="1">
      <alignment horizontal="center"/>
    </xf>
    <xf numFmtId="0" fontId="12" fillId="0" borderId="5" xfId="8" applyNumberFormat="1" applyFont="1" applyFill="1" applyBorder="1" applyAlignment="1" applyProtection="1"/>
    <xf numFmtId="0" fontId="12" fillId="8" borderId="5" xfId="8" applyNumberFormat="1" applyFont="1" applyFill="1" applyBorder="1" applyAlignment="1" applyProtection="1">
      <alignment horizontal="center"/>
    </xf>
    <xf numFmtId="1" fontId="12" fillId="0" borderId="5" xfId="8" applyNumberFormat="1" applyFont="1" applyFill="1" applyBorder="1" applyAlignment="1" applyProtection="1">
      <alignment horizontal="center"/>
    </xf>
    <xf numFmtId="0" fontId="0" fillId="0" borderId="0" xfId="0" applyProtection="1"/>
    <xf numFmtId="0" fontId="12" fillId="0" borderId="4" xfId="8" applyNumberFormat="1" applyFont="1" applyFill="1" applyBorder="1" applyAlignment="1" applyProtection="1">
      <alignment horizontal="center"/>
    </xf>
    <xf numFmtId="20" fontId="12" fillId="0" borderId="4" xfId="8" applyNumberFormat="1" applyFont="1" applyFill="1" applyBorder="1" applyAlignment="1" applyProtection="1">
      <alignment horizontal="center"/>
    </xf>
    <xf numFmtId="0" fontId="10" fillId="0" borderId="2" xfId="8" applyNumberFormat="1" applyFont="1" applyFill="1" applyBorder="1" applyAlignment="1" applyProtection="1">
      <alignment horizontal="center"/>
    </xf>
    <xf numFmtId="0" fontId="10" fillId="0" borderId="2" xfId="8" applyNumberFormat="1" applyFont="1" applyFill="1" applyBorder="1" applyAlignment="1" applyProtection="1"/>
    <xf numFmtId="0" fontId="1" fillId="0" borderId="2" xfId="8" applyNumberFormat="1" applyFont="1" applyFill="1" applyBorder="1" applyAlignment="1" applyProtection="1"/>
    <xf numFmtId="20" fontId="1" fillId="0" borderId="2" xfId="8" applyNumberFormat="1" applyFont="1" applyFill="1" applyBorder="1" applyAlignment="1" applyProtection="1"/>
    <xf numFmtId="1" fontId="10" fillId="0" borderId="2" xfId="3" applyNumberFormat="1" applyFont="1" applyFill="1" applyBorder="1" applyAlignment="1" applyProtection="1">
      <alignment horizontal="center"/>
    </xf>
    <xf numFmtId="1" fontId="1" fillId="0" borderId="2" xfId="3" applyNumberFormat="1" applyFill="1" applyBorder="1" applyAlignment="1" applyProtection="1">
      <alignment horizontal="center"/>
    </xf>
    <xf numFmtId="0" fontId="1" fillId="0" borderId="19" xfId="8" applyNumberFormat="1" applyFont="1" applyFill="1" applyBorder="1" applyAlignment="1" applyProtection="1">
      <alignment horizontal="center"/>
    </xf>
    <xf numFmtId="0" fontId="0" fillId="0" borderId="19" xfId="0" applyBorder="1" applyProtection="1">
      <protection locked="0"/>
    </xf>
    <xf numFmtId="0" fontId="12" fillId="0" borderId="19" xfId="8" applyNumberFormat="1" applyFont="1" applyFill="1" applyBorder="1" applyAlignment="1" applyProtection="1">
      <alignment horizontal="center"/>
      <protection locked="0"/>
    </xf>
    <xf numFmtId="0" fontId="1" fillId="0" borderId="19" xfId="8" applyNumberFormat="1" applyFont="1" applyFill="1" applyBorder="1" applyAlignment="1" applyProtection="1">
      <alignment horizontal="center"/>
      <protection locked="0"/>
    </xf>
    <xf numFmtId="0" fontId="21" fillId="0" borderId="0" xfId="0" applyFont="1" applyProtection="1"/>
    <xf numFmtId="2" fontId="10" fillId="0" borderId="2" xfId="8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2" xfId="3" applyFill="1" applyBorder="1" applyAlignment="1" applyProtection="1">
      <alignment horizontal="center"/>
    </xf>
    <xf numFmtId="1" fontId="1" fillId="0" borderId="19" xfId="8" applyNumberFormat="1" applyFont="1" applyFill="1" applyBorder="1" applyAlignment="1" applyProtection="1">
      <alignment horizontal="center"/>
      <protection locked="0"/>
    </xf>
    <xf numFmtId="170" fontId="1" fillId="0" borderId="19" xfId="8" applyNumberFormat="1" applyFont="1" applyFill="1" applyBorder="1" applyAlignment="1" applyProtection="1">
      <alignment horizontal="center"/>
      <protection locked="0"/>
    </xf>
    <xf numFmtId="21" fontId="1" fillId="0" borderId="0" xfId="8" applyNumberFormat="1" applyFont="1" applyFill="1" applyBorder="1" applyAlignment="1" applyProtection="1"/>
    <xf numFmtId="1" fontId="1" fillId="0" borderId="2" xfId="3" applyNumberFormat="1" applyFill="1" applyBorder="1" applyAlignment="1" applyProtection="1"/>
    <xf numFmtId="0" fontId="12" fillId="0" borderId="1" xfId="8" applyNumberFormat="1" applyFont="1" applyFill="1" applyBorder="1" applyAlignment="1" applyProtection="1"/>
    <xf numFmtId="1" fontId="13" fillId="0" borderId="0" xfId="8" applyNumberFormat="1" applyFont="1" applyFill="1" applyBorder="1" applyAlignment="1" applyProtection="1"/>
    <xf numFmtId="0" fontId="24" fillId="0" borderId="0" xfId="4" applyProtection="1"/>
    <xf numFmtId="0" fontId="12" fillId="0" borderId="1" xfId="8" applyNumberFormat="1" applyFont="1" applyFill="1" applyBorder="1" applyAlignment="1" applyProtection="1">
      <alignment horizontal="left"/>
    </xf>
    <xf numFmtId="167" fontId="1" fillId="0" borderId="0" xfId="8" applyNumberFormat="1" applyFont="1" applyFill="1" applyBorder="1" applyAlignment="1" applyProtection="1"/>
    <xf numFmtId="168" fontId="1" fillId="0" borderId="0" xfId="8" applyNumberFormat="1" applyFont="1" applyFill="1" applyBorder="1" applyAlignment="1" applyProtection="1"/>
    <xf numFmtId="168" fontId="12" fillId="0" borderId="16" xfId="8" applyNumberFormat="1" applyFont="1" applyFill="1" applyBorder="1" applyAlignment="1" applyProtection="1">
      <alignment horizontal="center"/>
    </xf>
    <xf numFmtId="1" fontId="12" fillId="0" borderId="18" xfId="8" applyNumberFormat="1" applyFont="1" applyFill="1" applyBorder="1" applyAlignment="1" applyProtection="1">
      <protection locked="0"/>
    </xf>
    <xf numFmtId="1" fontId="12" fillId="0" borderId="20" xfId="8" applyNumberFormat="1" applyFont="1" applyFill="1" applyBorder="1" applyAlignment="1" applyProtection="1">
      <protection locked="0"/>
    </xf>
    <xf numFmtId="1" fontId="12" fillId="0" borderId="16" xfId="8" applyNumberFormat="1" applyFont="1" applyFill="1" applyBorder="1" applyAlignment="1" applyProtection="1">
      <protection locked="0"/>
    </xf>
    <xf numFmtId="168" fontId="12" fillId="0" borderId="2" xfId="8" applyNumberFormat="1" applyFont="1" applyFill="1" applyBorder="1" applyAlignment="1" applyProtection="1">
      <alignment horizontal="center"/>
    </xf>
    <xf numFmtId="1" fontId="12" fillId="0" borderId="1" xfId="8" applyNumberFormat="1" applyFont="1" applyFill="1" applyBorder="1" applyAlignment="1" applyProtection="1">
      <protection locked="0"/>
    </xf>
    <xf numFmtId="1" fontId="12" fillId="0" borderId="3" xfId="8" applyNumberFormat="1" applyFont="1" applyFill="1" applyBorder="1" applyAlignment="1" applyProtection="1">
      <protection locked="0"/>
    </xf>
    <xf numFmtId="1" fontId="12" fillId="0" borderId="9" xfId="8" applyNumberFormat="1" applyFont="1" applyFill="1" applyBorder="1" applyAlignment="1" applyProtection="1">
      <protection locked="0"/>
    </xf>
    <xf numFmtId="1" fontId="12" fillId="0" borderId="2" xfId="8" applyNumberFormat="1" applyFont="1" applyFill="1" applyBorder="1" applyAlignment="1" applyProtection="1">
      <protection locked="0"/>
    </xf>
    <xf numFmtId="1" fontId="18" fillId="2" borderId="2" xfId="8" applyNumberFormat="1" applyFont="1" applyFill="1" applyBorder="1" applyAlignment="1" applyProtection="1">
      <alignment horizontal="center"/>
    </xf>
    <xf numFmtId="1" fontId="18" fillId="3" borderId="2" xfId="8" applyNumberFormat="1" applyFont="1" applyFill="1" applyBorder="1" applyAlignment="1" applyProtection="1">
      <alignment horizontal="center"/>
    </xf>
    <xf numFmtId="168" fontId="12" fillId="0" borderId="0" xfId="8" applyNumberFormat="1" applyFont="1" applyFill="1" applyBorder="1" applyAlignment="1" applyProtection="1">
      <alignment horizontal="center"/>
    </xf>
    <xf numFmtId="0" fontId="1" fillId="0" borderId="0" xfId="3" applyFill="1" applyBorder="1" applyAlignment="1"/>
    <xf numFmtId="0" fontId="1" fillId="0" borderId="2" xfId="8" applyNumberFormat="1" applyFont="1" applyFill="1" applyBorder="1" applyAlignment="1" applyProtection="1">
      <alignment horizontal="center"/>
    </xf>
    <xf numFmtId="168" fontId="1" fillId="0" borderId="2" xfId="8" applyNumberFormat="1" applyFont="1" applyFill="1" applyBorder="1" applyAlignment="1" applyProtection="1"/>
    <xf numFmtId="1" fontId="10" fillId="0" borderId="2" xfId="3" applyNumberFormat="1" applyFont="1" applyFill="1" applyBorder="1" applyAlignment="1">
      <alignment horizontal="center"/>
    </xf>
    <xf numFmtId="1" fontId="1" fillId="0" borderId="2" xfId="3" applyNumberFormat="1" applyFill="1" applyBorder="1" applyAlignment="1">
      <alignment horizontal="center"/>
    </xf>
    <xf numFmtId="1" fontId="1" fillId="0" borderId="2" xfId="3" applyNumberFormat="1" applyFont="1" applyFill="1" applyBorder="1" applyAlignment="1">
      <alignment horizontal="center"/>
    </xf>
    <xf numFmtId="0" fontId="1" fillId="0" borderId="2" xfId="3" applyFill="1" applyBorder="1" applyAlignment="1">
      <alignment horizontal="center"/>
    </xf>
    <xf numFmtId="1" fontId="1" fillId="0" borderId="2" xfId="3" applyNumberFormat="1" applyFill="1" applyBorder="1" applyAlignment="1"/>
    <xf numFmtId="0" fontId="24" fillId="0" borderId="0" xfId="4"/>
    <xf numFmtId="2" fontId="15" fillId="2" borderId="3" xfId="8" applyNumberFormat="1" applyFont="1" applyFill="1" applyBorder="1" applyAlignment="1" applyProtection="1">
      <alignment horizontal="left"/>
    </xf>
    <xf numFmtId="2" fontId="15" fillId="2" borderId="4" xfId="8" applyNumberFormat="1" applyFont="1" applyFill="1" applyBorder="1" applyAlignment="1" applyProtection="1">
      <alignment horizontal="left"/>
    </xf>
    <xf numFmtId="2" fontId="15" fillId="2" borderId="9" xfId="8" applyNumberFormat="1" applyFont="1" applyFill="1" applyBorder="1" applyAlignment="1" applyProtection="1">
      <alignment horizontal="left"/>
    </xf>
    <xf numFmtId="1" fontId="15" fillId="2" borderId="3" xfId="8" applyNumberFormat="1" applyFont="1" applyFill="1" applyBorder="1" applyAlignment="1" applyProtection="1">
      <alignment horizontal="left"/>
    </xf>
    <xf numFmtId="1" fontId="15" fillId="2" borderId="4" xfId="8" applyNumberFormat="1" applyFont="1" applyFill="1" applyBorder="1" applyAlignment="1" applyProtection="1">
      <alignment horizontal="left"/>
    </xf>
    <xf numFmtId="1" fontId="15" fillId="2" borderId="9" xfId="8" applyNumberFormat="1" applyFont="1" applyFill="1" applyBorder="1" applyAlignment="1" applyProtection="1">
      <alignment horizontal="left"/>
    </xf>
    <xf numFmtId="1" fontId="12" fillId="0" borderId="3" xfId="8" applyNumberFormat="1" applyFont="1" applyFill="1" applyBorder="1" applyAlignment="1" applyProtection="1">
      <alignment horizontal="left"/>
      <protection locked="0"/>
    </xf>
    <xf numFmtId="0" fontId="22" fillId="0" borderId="0" xfId="8" applyNumberFormat="1" applyFont="1" applyFill="1" applyBorder="1" applyAlignment="1" applyProtection="1"/>
    <xf numFmtId="0" fontId="23" fillId="0" borderId="0" xfId="0" applyFont="1"/>
    <xf numFmtId="0" fontId="23" fillId="0" borderId="2" xfId="8" applyNumberFormat="1" applyFont="1" applyFill="1" applyBorder="1" applyAlignment="1" applyProtection="1"/>
    <xf numFmtId="0" fontId="23" fillId="7" borderId="2" xfId="8" applyNumberFormat="1" applyFont="1" applyFill="1" applyBorder="1" applyAlignment="1" applyProtection="1">
      <alignment horizontal="center"/>
    </xf>
    <xf numFmtId="0" fontId="1" fillId="0" borderId="5" xfId="8" applyNumberFormat="1" applyFont="1" applyFill="1" applyBorder="1" applyAlignment="1" applyProtection="1">
      <alignment horizontal="center"/>
    </xf>
    <xf numFmtId="1" fontId="12" fillId="0" borderId="15" xfId="8" applyNumberFormat="1" applyFont="1" applyFill="1" applyBorder="1" applyAlignment="1" applyProtection="1">
      <alignment horizontal="center"/>
    </xf>
    <xf numFmtId="0" fontId="1" fillId="0" borderId="15" xfId="8" applyNumberFormat="1" applyFont="1" applyFill="1" applyBorder="1" applyAlignment="1" applyProtection="1">
      <alignment horizontal="center"/>
    </xf>
    <xf numFmtId="2" fontId="12" fillId="0" borderId="2" xfId="8" applyNumberFormat="1" applyFont="1" applyFill="1" applyBorder="1" applyAlignment="1" applyProtection="1">
      <alignment horizontal="center"/>
    </xf>
    <xf numFmtId="1" fontId="12" fillId="0" borderId="16" xfId="8" applyNumberFormat="1" applyFont="1" applyFill="1" applyBorder="1" applyAlignment="1" applyProtection="1">
      <alignment horizontal="center"/>
    </xf>
    <xf numFmtId="0" fontId="1" fillId="0" borderId="16" xfId="8" applyNumberFormat="1" applyFont="1" applyFill="1" applyBorder="1" applyAlignment="1" applyProtection="1">
      <alignment horizontal="center"/>
    </xf>
    <xf numFmtId="1" fontId="1" fillId="0" borderId="0" xfId="8" applyNumberFormat="1" applyFont="1" applyFill="1" applyBorder="1" applyAlignment="1" applyProtection="1"/>
    <xf numFmtId="0" fontId="10" fillId="0" borderId="0" xfId="8" applyNumberFormat="1" applyFont="1" applyFill="1" applyBorder="1" applyAlignment="1" applyProtection="1">
      <alignment horizontal="center"/>
    </xf>
    <xf numFmtId="0" fontId="10" fillId="0" borderId="0" xfId="8" applyNumberFormat="1" applyFont="1" applyFill="1" applyBorder="1" applyAlignment="1" applyProtection="1"/>
    <xf numFmtId="0" fontId="1" fillId="9" borderId="0" xfId="6" applyFont="1" applyFill="1" applyBorder="1" applyAlignment="1" applyProtection="1"/>
    <xf numFmtId="1" fontId="6" fillId="0" borderId="2" xfId="6" applyNumberFormat="1" applyFont="1" applyFill="1" applyBorder="1" applyAlignment="1" applyProtection="1">
      <alignment horizontal="center"/>
    </xf>
    <xf numFmtId="0" fontId="2" fillId="0" borderId="0" xfId="6" applyFont="1" applyFill="1" applyBorder="1" applyAlignment="1" applyProtection="1">
      <alignment horizontal="center"/>
    </xf>
    <xf numFmtId="165" fontId="3" fillId="0" borderId="0" xfId="6" applyNumberFormat="1" applyFont="1" applyFill="1" applyBorder="1" applyAlignment="1" applyProtection="1">
      <alignment horizontal="center"/>
    </xf>
    <xf numFmtId="0" fontId="4" fillId="0" borderId="0" xfId="6" applyFont="1" applyFill="1" applyBorder="1" applyAlignment="1" applyProtection="1">
      <alignment horizontal="center"/>
    </xf>
    <xf numFmtId="166" fontId="6" fillId="0" borderId="1" xfId="1" applyFont="1" applyFill="1" applyBorder="1" applyAlignment="1" applyProtection="1">
      <alignment horizontal="center"/>
    </xf>
    <xf numFmtId="0" fontId="1" fillId="0" borderId="2" xfId="6" applyFont="1" applyFill="1" applyBorder="1" applyAlignment="1" applyProtection="1">
      <alignment horizontal="center"/>
    </xf>
    <xf numFmtId="2" fontId="1" fillId="3" borderId="2" xfId="6" applyNumberFormat="1" applyFont="1" applyFill="1" applyBorder="1" applyAlignment="1" applyProtection="1">
      <alignment horizontal="center" vertical="center"/>
    </xf>
    <xf numFmtId="1" fontId="1" fillId="3" borderId="2" xfId="6" applyNumberFormat="1" applyFont="1" applyFill="1" applyBorder="1" applyAlignment="1" applyProtection="1">
      <alignment horizontal="center" vertical="center"/>
    </xf>
    <xf numFmtId="19" fontId="1" fillId="3" borderId="2" xfId="6" applyNumberFormat="1" applyFont="1" applyFill="1" applyBorder="1" applyAlignment="1" applyProtection="1">
      <alignment horizontal="center" textRotation="180"/>
    </xf>
    <xf numFmtId="1" fontId="1" fillId="4" borderId="2" xfId="6" applyNumberFormat="1" applyFont="1" applyFill="1" applyBorder="1" applyAlignment="1" applyProtection="1">
      <alignment horizontal="center" vertical="center"/>
    </xf>
    <xf numFmtId="2" fontId="1" fillId="4" borderId="2" xfId="6" applyNumberFormat="1" applyFont="1" applyFill="1" applyBorder="1" applyAlignment="1" applyProtection="1">
      <alignment horizontal="center" vertical="center"/>
    </xf>
    <xf numFmtId="1" fontId="6" fillId="0" borderId="2" xfId="6" applyNumberFormat="1" applyFont="1" applyFill="1" applyBorder="1" applyAlignment="1" applyProtection="1">
      <alignment horizontal="left"/>
    </xf>
    <xf numFmtId="19" fontId="1" fillId="0" borderId="2" xfId="6" applyNumberFormat="1" applyFont="1" applyFill="1" applyBorder="1" applyAlignment="1" applyProtection="1">
      <alignment horizontal="center" textRotation="180"/>
    </xf>
    <xf numFmtId="0" fontId="1" fillId="0" borderId="1" xfId="6" applyFont="1" applyFill="1" applyBorder="1" applyAlignment="1" applyProtection="1">
      <alignment horizontal="center"/>
    </xf>
    <xf numFmtId="0" fontId="1" fillId="2" borderId="2" xfId="6" applyFont="1" applyFill="1" applyBorder="1" applyAlignment="1" applyProtection="1">
      <alignment horizontal="center"/>
    </xf>
    <xf numFmtId="0" fontId="1" fillId="5" borderId="2" xfId="6" applyFont="1" applyFill="1" applyBorder="1" applyAlignment="1" applyProtection="1">
      <alignment horizontal="center"/>
    </xf>
    <xf numFmtId="2" fontId="1" fillId="0" borderId="2" xfId="6" applyNumberFormat="1" applyFont="1" applyFill="1" applyBorder="1" applyAlignment="1" applyProtection="1">
      <alignment horizontal="center"/>
    </xf>
    <xf numFmtId="1" fontId="1" fillId="6" borderId="2" xfId="6" applyNumberFormat="1" applyFont="1" applyFill="1" applyBorder="1" applyAlignment="1" applyProtection="1">
      <alignment horizontal="center" vertical="center"/>
    </xf>
    <xf numFmtId="1" fontId="1" fillId="2" borderId="2" xfId="6" applyNumberFormat="1" applyFont="1" applyFill="1" applyBorder="1" applyAlignment="1" applyProtection="1">
      <alignment horizontal="center" vertical="center"/>
    </xf>
    <xf numFmtId="2" fontId="1" fillId="2" borderId="5" xfId="6" applyNumberFormat="1" applyFont="1" applyFill="1" applyBorder="1" applyAlignment="1" applyProtection="1">
      <alignment horizontal="center" vertical="center"/>
    </xf>
    <xf numFmtId="1" fontId="1" fillId="2" borderId="5" xfId="6" applyNumberFormat="1" applyFont="1" applyFill="1" applyBorder="1" applyAlignment="1" applyProtection="1">
      <alignment horizontal="center" vertical="center"/>
    </xf>
    <xf numFmtId="0" fontId="1" fillId="9" borderId="0" xfId="6" applyFont="1" applyFill="1" applyBorder="1" applyAlignment="1" applyProtection="1"/>
    <xf numFmtId="0" fontId="1" fillId="0" borderId="0" xfId="6" applyFont="1" applyFill="1" applyBorder="1" applyAlignment="1" applyProtection="1"/>
    <xf numFmtId="2" fontId="1" fillId="6" borderId="15" xfId="6" applyNumberFormat="1" applyFont="1" applyFill="1" applyBorder="1" applyAlignment="1" applyProtection="1">
      <alignment horizontal="center" vertical="center"/>
    </xf>
    <xf numFmtId="1" fontId="1" fillId="6" borderId="16" xfId="6" applyNumberFormat="1" applyFont="1" applyFill="1" applyBorder="1" applyAlignment="1" applyProtection="1">
      <alignment horizontal="center" vertical="center"/>
    </xf>
    <xf numFmtId="0" fontId="12" fillId="0" borderId="2" xfId="8" applyNumberFormat="1" applyFont="1" applyFill="1" applyBorder="1" applyAlignment="1" applyProtection="1">
      <alignment horizontal="center"/>
    </xf>
    <xf numFmtId="0" fontId="12" fillId="0" borderId="0" xfId="8" applyNumberFormat="1" applyFont="1" applyFill="1" applyBorder="1" applyAlignment="1" applyProtection="1">
      <alignment horizontal="center"/>
    </xf>
    <xf numFmtId="165" fontId="12" fillId="0" borderId="1" xfId="8" applyNumberFormat="1" applyFont="1" applyFill="1" applyBorder="1" applyAlignment="1" applyProtection="1">
      <alignment horizontal="center"/>
    </xf>
    <xf numFmtId="20" fontId="12" fillId="0" borderId="1" xfId="8" applyNumberFormat="1" applyFont="1" applyFill="1" applyBorder="1" applyAlignment="1" applyProtection="1">
      <alignment horizontal="center"/>
    </xf>
    <xf numFmtId="168" fontId="12" fillId="0" borderId="1" xfId="8" applyNumberFormat="1" applyFont="1" applyFill="1" applyBorder="1" applyAlignment="1" applyProtection="1">
      <alignment horizontal="center"/>
    </xf>
    <xf numFmtId="0" fontId="12" fillId="0" borderId="1" xfId="8" applyNumberFormat="1" applyFont="1" applyFill="1" applyBorder="1" applyAlignment="1" applyProtection="1">
      <alignment horizontal="center"/>
    </xf>
    <xf numFmtId="0" fontId="12" fillId="0" borderId="17" xfId="8" applyNumberFormat="1" applyFont="1" applyFill="1" applyBorder="1" applyAlignment="1" applyProtection="1">
      <alignment horizontal="center"/>
    </xf>
    <xf numFmtId="20" fontId="12" fillId="0" borderId="3" xfId="8" applyNumberFormat="1" applyFont="1" applyFill="1" applyBorder="1" applyAlignment="1" applyProtection="1">
      <alignment horizontal="center"/>
    </xf>
    <xf numFmtId="21" fontId="12" fillId="0" borderId="9" xfId="8" applyNumberFormat="1" applyFont="1" applyFill="1" applyBorder="1" applyAlignment="1" applyProtection="1">
      <alignment horizontal="center"/>
    </xf>
    <xf numFmtId="21" fontId="12" fillId="0" borderId="0" xfId="8" applyNumberFormat="1" applyFont="1" applyFill="1" applyBorder="1" applyAlignment="1" applyProtection="1">
      <alignment horizontal="center"/>
    </xf>
    <xf numFmtId="1" fontId="12" fillId="0" borderId="18" xfId="8" applyNumberFormat="1" applyFont="1" applyFill="1" applyBorder="1" applyAlignment="1" applyProtection="1">
      <alignment horizontal="center"/>
      <protection locked="0"/>
    </xf>
    <xf numFmtId="1" fontId="12" fillId="0" borderId="2" xfId="8" applyNumberFormat="1" applyFont="1" applyFill="1" applyBorder="1" applyAlignment="1" applyProtection="1"/>
    <xf numFmtId="1" fontId="12" fillId="0" borderId="3" xfId="8" applyNumberFormat="1" applyFont="1" applyFill="1" applyBorder="1" applyAlignment="1" applyProtection="1">
      <alignment horizontal="center"/>
      <protection locked="0"/>
    </xf>
    <xf numFmtId="1" fontId="10" fillId="0" borderId="2" xfId="3" applyNumberFormat="1" applyFont="1" applyFill="1" applyBorder="1" applyAlignment="1" applyProtection="1">
      <alignment horizontal="center"/>
    </xf>
    <xf numFmtId="0" fontId="12" fillId="7" borderId="2" xfId="8" applyNumberFormat="1" applyFont="1" applyFill="1" applyBorder="1" applyAlignment="1" applyProtection="1">
      <alignment horizontal="center"/>
    </xf>
    <xf numFmtId="0" fontId="12" fillId="8" borderId="2" xfId="8" applyNumberFormat="1" applyFont="1" applyFill="1" applyBorder="1" applyAlignment="1" applyProtection="1">
      <alignment horizontal="center"/>
    </xf>
    <xf numFmtId="0" fontId="12" fillId="8" borderId="5" xfId="8" applyNumberFormat="1" applyFont="1" applyFill="1" applyBorder="1" applyAlignment="1" applyProtection="1">
      <alignment horizontal="center"/>
    </xf>
    <xf numFmtId="0" fontId="10" fillId="0" borderId="2" xfId="8" applyNumberFormat="1" applyFont="1" applyFill="1" applyBorder="1" applyAlignment="1" applyProtection="1">
      <alignment horizontal="center"/>
    </xf>
    <xf numFmtId="1" fontId="12" fillId="0" borderId="2" xfId="8" applyNumberFormat="1" applyFont="1" applyFill="1" applyBorder="1" applyAlignment="1" applyProtection="1">
      <alignment horizontal="center"/>
    </xf>
    <xf numFmtId="1" fontId="10" fillId="0" borderId="2" xfId="8" applyNumberFormat="1" applyFont="1" applyFill="1" applyBorder="1" applyAlignment="1" applyProtection="1"/>
    <xf numFmtId="0" fontId="10" fillId="0" borderId="2" xfId="8" applyNumberFormat="1" applyFont="1" applyFill="1" applyBorder="1" applyAlignment="1" applyProtection="1"/>
    <xf numFmtId="1" fontId="1" fillId="0" borderId="2" xfId="3" applyNumberFormat="1" applyFill="1" applyBorder="1" applyAlignment="1" applyProtection="1">
      <alignment horizontal="center"/>
    </xf>
    <xf numFmtId="0" fontId="12" fillId="0" borderId="3" xfId="8" applyNumberFormat="1" applyFont="1" applyFill="1" applyBorder="1" applyAlignment="1" applyProtection="1">
      <alignment horizontal="center"/>
    </xf>
    <xf numFmtId="19" fontId="12" fillId="0" borderId="9" xfId="8" applyNumberFormat="1" applyFont="1" applyFill="1" applyBorder="1" applyAlignment="1" applyProtection="1">
      <alignment horizontal="center"/>
    </xf>
    <xf numFmtId="20" fontId="12" fillId="0" borderId="0" xfId="8" applyNumberFormat="1" applyFont="1" applyFill="1" applyBorder="1" applyAlignment="1" applyProtection="1">
      <alignment horizontal="center"/>
    </xf>
    <xf numFmtId="0" fontId="1" fillId="0" borderId="2" xfId="8" applyNumberFormat="1" applyFont="1" applyFill="1" applyBorder="1" applyAlignment="1" applyProtection="1">
      <alignment horizontal="center"/>
    </xf>
    <xf numFmtId="1" fontId="10" fillId="0" borderId="2" xfId="3" applyNumberFormat="1" applyFont="1" applyFill="1" applyBorder="1" applyAlignment="1">
      <alignment horizontal="center"/>
    </xf>
    <xf numFmtId="1" fontId="1" fillId="0" borderId="2" xfId="3" applyNumberFormat="1" applyFont="1" applyFill="1" applyBorder="1" applyAlignment="1">
      <alignment horizontal="center"/>
    </xf>
    <xf numFmtId="1" fontId="1" fillId="0" borderId="2" xfId="3" applyNumberFormat="1" applyFill="1" applyBorder="1" applyAlignment="1">
      <alignment horizontal="center"/>
    </xf>
    <xf numFmtId="19" fontId="12" fillId="0" borderId="0" xfId="8" applyNumberFormat="1" applyFont="1" applyFill="1" applyBorder="1" applyAlignment="1" applyProtection="1">
      <alignment horizontal="center"/>
    </xf>
    <xf numFmtId="1" fontId="12" fillId="0" borderId="2" xfId="8" applyNumberFormat="1" applyFont="1" applyFill="1" applyBorder="1" applyAlignment="1" applyProtection="1">
      <alignment horizontal="center"/>
      <protection locked="0"/>
    </xf>
    <xf numFmtId="0" fontId="1" fillId="0" borderId="9" xfId="8" applyNumberFormat="1" applyFont="1" applyFill="1" applyBorder="1" applyAlignment="1" applyProtection="1">
      <alignment horizontal="center"/>
    </xf>
    <xf numFmtId="0" fontId="1" fillId="0" borderId="2" xfId="8" applyNumberFormat="1" applyFont="1" applyFill="1" applyBorder="1" applyAlignment="1" applyProtection="1"/>
    <xf numFmtId="1" fontId="10" fillId="0" borderId="2" xfId="3" applyNumberFormat="1" applyFont="1" applyFill="1" applyBorder="1" applyAlignment="1"/>
    <xf numFmtId="0" fontId="10" fillId="0" borderId="9" xfId="8" applyNumberFormat="1" applyFont="1" applyFill="1" applyBorder="1" applyAlignment="1" applyProtection="1">
      <alignment horizontal="center"/>
    </xf>
    <xf numFmtId="1" fontId="1" fillId="0" borderId="0" xfId="1" applyNumberFormat="1"/>
  </cellXfs>
  <cellStyles count="9">
    <cellStyle name="Excel Built-in Normal" xfId="7" xr:uid="{00000000-0005-0000-0000-000000000000}"/>
    <cellStyle name="Excel Built-in Normal 1 2" xfId="6" xr:uid="{00000000-0005-0000-0000-000001000000}"/>
    <cellStyle name="Excel Built-in Normal 1 2 2" xfId="8" xr:uid="{00000000-0005-0000-0000-000002000000}"/>
    <cellStyle name="Komma" xfId="1" builtinId="3"/>
    <cellStyle name="Standard" xfId="0" builtinId="0"/>
    <cellStyle name="Standard 2" xfId="2" xr:uid="{00000000-0005-0000-0000-000005000000}"/>
    <cellStyle name="Standard 2 2" xfId="3" xr:uid="{00000000-0005-0000-0000-000006000000}"/>
    <cellStyle name="Standard 3" xfId="4" xr:uid="{00000000-0005-0000-0000-000007000000}"/>
    <cellStyle name="Währung 2" xfId="5" xr:uid="{00000000-0005-0000-0000-000008000000}"/>
  </cellStyles>
  <dxfs count="36">
    <dxf>
      <fill>
        <patternFill patternType="solid">
          <fgColor indexed="22"/>
          <bgColor indexed="44"/>
        </patternFill>
      </fill>
    </dxf>
    <dxf>
      <fill>
        <patternFill patternType="solid">
          <fgColor indexed="22"/>
          <bgColor indexed="44"/>
        </patternFill>
      </fill>
    </dxf>
    <dxf>
      <fill>
        <patternFill patternType="solid">
          <fgColor indexed="47"/>
          <bgColor indexed="42"/>
        </patternFill>
      </fill>
    </dxf>
    <dxf>
      <fill>
        <patternFill patternType="solid">
          <fgColor indexed="22"/>
          <bgColor indexed="44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44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44"/>
        </patternFill>
      </fill>
    </dxf>
    <dxf>
      <fill>
        <patternFill patternType="solid">
          <fgColor indexed="22"/>
          <bgColor indexed="44"/>
        </patternFill>
      </fill>
    </dxf>
    <dxf>
      <fill>
        <patternFill patternType="solid">
          <fgColor indexed="47"/>
          <bgColor indexed="42"/>
        </patternFill>
      </fill>
    </dxf>
    <dxf>
      <fill>
        <patternFill patternType="solid">
          <fgColor indexed="22"/>
          <bgColor indexed="44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44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7"/>
          <bgColor indexed="42"/>
        </patternFill>
      </fill>
    </dxf>
    <dxf>
      <fill>
        <patternFill patternType="solid">
          <fgColor indexed="22"/>
          <bgColor indexed="44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7"/>
          <bgColor indexed="42"/>
        </patternFill>
      </fill>
    </dxf>
    <dxf>
      <fill>
        <patternFill patternType="solid">
          <fgColor indexed="22"/>
          <bgColor indexed="44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7"/>
          <bgColor indexed="31"/>
        </patternFill>
      </fill>
    </dxf>
    <dxf>
      <fill>
        <patternFill patternType="solid">
          <fgColor indexed="47"/>
          <bgColor indexed="31"/>
        </patternFill>
      </fill>
    </dxf>
    <dxf>
      <fill>
        <patternFill patternType="solid">
          <fgColor indexed="47"/>
          <bgColor indexed="31"/>
        </patternFill>
      </fill>
    </dxf>
    <dxf>
      <fill>
        <patternFill patternType="solid">
          <fgColor indexed="47"/>
          <bgColor indexed="31"/>
        </patternFill>
      </fill>
    </dxf>
    <dxf>
      <fill>
        <patternFill patternType="solid">
          <fgColor indexed="47"/>
          <bgColor indexed="31"/>
        </patternFill>
      </fill>
    </dxf>
    <dxf>
      <fill>
        <patternFill patternType="solid">
          <fgColor indexed="47"/>
          <bgColor indexed="31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47"/>
          <bgColor indexed="31"/>
        </patternFill>
      </fill>
    </dxf>
    <dxf>
      <fill>
        <patternFill patternType="solid">
          <fgColor indexed="47"/>
          <bgColor indexed="31"/>
        </patternFill>
      </fill>
    </dxf>
    <dxf>
      <fill>
        <patternFill patternType="solid">
          <fgColor indexed="47"/>
          <bgColor indexed="31"/>
        </patternFill>
      </fill>
    </dxf>
    <dxf>
      <fill>
        <patternFill patternType="solid">
          <fgColor indexed="47"/>
          <bgColor indexed="22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C5000B"/>
      <rgbColor rgb="00008080"/>
      <rgbColor rgb="000000FF"/>
      <rgbColor rgb="0000CCFF"/>
      <rgbColor rgb="00CCFFFF"/>
      <rgbColor rgb="00D9D9D9"/>
      <rgbColor rgb="00FFFF99"/>
      <rgbColor rgb="009DC3E6"/>
      <rgbColor rgb="00FF99CC"/>
      <rgbColor rgb="00CC99FF"/>
      <rgbColor rgb="00D0CE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6"/>
  <sheetViews>
    <sheetView zoomScale="85" zoomScaleNormal="85" workbookViewId="0">
      <selection activeCell="E41" sqref="E41"/>
    </sheetView>
  </sheetViews>
  <sheetFormatPr baseColWidth="10" defaultColWidth="11.5703125" defaultRowHeight="12.75" x14ac:dyDescent="0.2"/>
  <cols>
    <col min="2" max="2" width="21.7109375" customWidth="1"/>
    <col min="3" max="4" width="23" customWidth="1"/>
    <col min="5" max="5" width="21" customWidth="1"/>
    <col min="6" max="6" width="20.28515625" customWidth="1"/>
  </cols>
  <sheetData>
    <row r="3" spans="1:6" x14ac:dyDescent="0.2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5" spans="1:6" x14ac:dyDescent="0.2">
      <c r="A5" s="1">
        <v>8</v>
      </c>
      <c r="B5" t="str">
        <f>'D3'!E57</f>
        <v>SpVgg Illkofen</v>
      </c>
      <c r="C5" t="str">
        <f>'C2'!E39</f>
        <v>JFG Kickers Labertal 2</v>
      </c>
      <c r="D5" t="str">
        <f>'B1'!E38</f>
        <v>JFG Kickers Labertal</v>
      </c>
      <c r="E5" t="str">
        <f>'D1'!E38</f>
        <v>JFG FR Seubersdorf</v>
      </c>
      <c r="F5" t="str">
        <f>'C1'!E38</f>
        <v>SV Pfatter</v>
      </c>
    </row>
    <row r="6" spans="1:6" x14ac:dyDescent="0.2">
      <c r="A6" s="1">
        <v>7</v>
      </c>
      <c r="B6" s="2" t="str">
        <f>'D3'!E56</f>
        <v>JFG Naab-Regen D4</v>
      </c>
      <c r="C6" t="str">
        <f>'C2'!E40</f>
        <v>FC Tegernheim</v>
      </c>
      <c r="D6" t="str">
        <f>'B1'!E39</f>
        <v>SV Obertraubling 2</v>
      </c>
      <c r="E6" t="str">
        <f>'D1'!E39</f>
        <v>JFG 3 Schlösser-Eck</v>
      </c>
      <c r="F6" t="str">
        <f>'C1'!E39</f>
        <v>TSV Neutraubling</v>
      </c>
    </row>
    <row r="7" spans="1:6" x14ac:dyDescent="0.2">
      <c r="A7" s="1">
        <v>6</v>
      </c>
      <c r="B7" t="str">
        <f>'D3'!E55</f>
        <v>TB/ASV Regenstauf</v>
      </c>
      <c r="C7" s="2" t="str">
        <f>'C2'!E41</f>
        <v>JFG Naab-Regen C2</v>
      </c>
      <c r="D7" t="str">
        <f>'B1'!E40</f>
        <v>FSV Prüfening</v>
      </c>
      <c r="E7" t="str">
        <f>'D1'!E40</f>
        <v>JFG Haidau</v>
      </c>
      <c r="F7" s="2" t="str">
        <f>'C1'!E40</f>
        <v>JFG Naab-Regen</v>
      </c>
    </row>
    <row r="8" spans="1:6" x14ac:dyDescent="0.2">
      <c r="A8" s="1">
        <v>5</v>
      </c>
      <c r="B8" t="str">
        <f>'D3'!E54</f>
        <v>TSV Neutraubling</v>
      </c>
      <c r="C8" t="str">
        <f>'C2'!E42</f>
        <v>(SG) SV Eggmühl</v>
      </c>
      <c r="D8" t="str">
        <f>'B1'!E41</f>
        <v>JFG Obere Vils</v>
      </c>
      <c r="E8" t="str">
        <f>'D1'!E41</f>
        <v>SSV Jahn Futsal</v>
      </c>
      <c r="F8" t="str">
        <f>'C1'!E41</f>
        <v>VfB Regensburg</v>
      </c>
    </row>
    <row r="9" spans="1:6" x14ac:dyDescent="0.2">
      <c r="A9" s="1">
        <v>4</v>
      </c>
      <c r="B9" t="str">
        <f>'D3'!E52</f>
        <v>SCTeublitz</v>
      </c>
      <c r="C9" t="str">
        <f>'C2'!E43</f>
        <v>RT Regensburg</v>
      </c>
      <c r="D9" t="str">
        <f>'B1'!E42</f>
        <v>JFG 3 Schlösser Eck</v>
      </c>
      <c r="E9" t="str">
        <f>'D1'!E42</f>
        <v>TSV Neutraubling</v>
      </c>
      <c r="F9" t="str">
        <f>'C1'!E42</f>
        <v>JFG Schwarze Laber</v>
      </c>
    </row>
    <row r="10" spans="1:6" x14ac:dyDescent="0.2">
      <c r="A10" s="1">
        <v>3</v>
      </c>
      <c r="B10" t="str">
        <f>'D3'!E51</f>
        <v>TSV Kareth-Lappersdorf</v>
      </c>
      <c r="C10" t="str">
        <f>'C2'!E44</f>
        <v>1.FC Schwarzenfeld</v>
      </c>
      <c r="D10" t="str">
        <f>'B1'!E43</f>
        <v>JFG Oberpfälzer Seenland</v>
      </c>
      <c r="E10" t="str">
        <f>'D1'!E43</f>
        <v>JFG Kickers Labertal</v>
      </c>
      <c r="F10" t="str">
        <f>'C1'!E43</f>
        <v>TSV Großberg</v>
      </c>
    </row>
    <row r="11" spans="1:6" x14ac:dyDescent="0.2">
      <c r="A11" s="1">
        <v>2</v>
      </c>
      <c r="B11" t="str">
        <f>'D3'!E50</f>
        <v>JFG Schwarze Laber</v>
      </c>
      <c r="C11" t="str">
        <f>'C2'!E45</f>
        <v>TSV Kareth Lappersdorf 3</v>
      </c>
      <c r="D11" s="2" t="str">
        <f>'B1'!E44</f>
        <v>JFG Naab Regen</v>
      </c>
      <c r="E11" t="str">
        <f>'D1'!E44</f>
        <v>SG TB/ASV Regenstauf</v>
      </c>
      <c r="F11" t="str">
        <f>'C1'!E44</f>
        <v>JFG Kickers Labertal</v>
      </c>
    </row>
    <row r="12" spans="1:6" x14ac:dyDescent="0.2">
      <c r="A12" s="1">
        <v>1</v>
      </c>
      <c r="B12" s="2" t="str">
        <f>'D3'!E49</f>
        <v>JFG Naab-Regen D3</v>
      </c>
      <c r="C12" t="str">
        <f>'C2'!E46</f>
        <v>FSV Prüfening 2</v>
      </c>
      <c r="D12" t="str">
        <f>'B1'!E45</f>
        <v>SpVgg Pfreimd</v>
      </c>
      <c r="E12" s="2" t="str">
        <f>'D1'!E45</f>
        <v>JFG Naab-Regen</v>
      </c>
      <c r="F12" t="str">
        <f>'C1'!E45</f>
        <v>Freier TuS Regensburg</v>
      </c>
    </row>
    <row r="15" spans="1:6" x14ac:dyDescent="0.2">
      <c r="A15">
        <f>SUM(B15:F15)/5</f>
        <v>37</v>
      </c>
      <c r="B15" s="3">
        <f>'D3'!U35</f>
        <v>59</v>
      </c>
      <c r="C15" s="3">
        <f>'C2'!F48</f>
        <v>25</v>
      </c>
      <c r="D15" s="3">
        <f>'B1'!F47</f>
        <v>24</v>
      </c>
      <c r="E15" s="3">
        <f>'D1'!F47</f>
        <v>42</v>
      </c>
      <c r="F15" s="3">
        <f>'C1'!F47</f>
        <v>35</v>
      </c>
    </row>
    <row r="16" spans="1:6" x14ac:dyDescent="0.2">
      <c r="A16">
        <f>SUM(B16:F16)/5</f>
        <v>1.9899999999999998</v>
      </c>
      <c r="B16" s="3">
        <f>'D3'!U37</f>
        <v>2.95</v>
      </c>
      <c r="C16" s="4">
        <f>'C2'!F49</f>
        <v>1.3888888888888888</v>
      </c>
      <c r="D16" s="4">
        <f>'B1'!F48</f>
        <v>1.3333333333333333</v>
      </c>
      <c r="E16" s="4">
        <f>'D1'!F48</f>
        <v>2.3333333333333335</v>
      </c>
      <c r="F16" s="4">
        <f>'C1'!F48</f>
        <v>1.9444444444444444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66"/>
  <sheetViews>
    <sheetView topLeftCell="A37" zoomScale="85" zoomScaleNormal="85" zoomScaleSheetLayoutView="110" workbookViewId="0">
      <selection activeCell="T56" sqref="T56:AC56"/>
    </sheetView>
  </sheetViews>
  <sheetFormatPr baseColWidth="10" defaultColWidth="6.140625" defaultRowHeight="14.25" x14ac:dyDescent="0.2"/>
  <cols>
    <col min="1" max="1" width="3.42578125" style="5" customWidth="1"/>
    <col min="2" max="2" width="2.5703125" style="5" customWidth="1"/>
    <col min="3" max="3" width="24.42578125" style="6" customWidth="1"/>
    <col min="4" max="4" width="2.28515625" style="5" customWidth="1"/>
    <col min="5" max="5" width="31.85546875" style="5" customWidth="1"/>
    <col min="6" max="6" width="6.140625" style="5"/>
    <col min="7" max="9" width="6.7109375" style="7" customWidth="1"/>
    <col min="10" max="11" width="6.7109375" style="5" customWidth="1"/>
    <col min="12" max="12" width="5" style="5" customWidth="1"/>
    <col min="13" max="13" width="2.28515625" style="5" customWidth="1"/>
    <col min="14" max="14" width="5" style="5" customWidth="1"/>
    <col min="15" max="15" width="2.85546875" style="5" customWidth="1"/>
    <col min="16" max="16" width="2.140625" style="5" customWidth="1"/>
    <col min="17" max="17" width="2.85546875" style="5" customWidth="1"/>
    <col min="18" max="18" width="2.28515625" style="5" customWidth="1"/>
    <col min="19" max="19" width="9.5703125" style="5" customWidth="1"/>
    <col min="20" max="20" width="31.5703125" style="5" customWidth="1"/>
    <col min="21" max="21" width="11.140625" style="5" customWidth="1"/>
    <col min="22" max="22" width="3.85546875" style="5" customWidth="1"/>
    <col min="23" max="23" width="1.85546875" style="5" customWidth="1"/>
    <col min="24" max="24" width="4.5703125" style="5" customWidth="1"/>
    <col min="25" max="25" width="5" style="5" customWidth="1"/>
    <col min="26" max="26" width="2.28515625" style="5" customWidth="1"/>
    <col min="27" max="27" width="1.85546875" style="5" customWidth="1"/>
    <col min="28" max="29" width="2.28515625" style="5" customWidth="1"/>
    <col min="30" max="30" width="1.85546875" style="5" customWidth="1"/>
    <col min="31" max="32" width="2.28515625" style="5" customWidth="1"/>
    <col min="33" max="33" width="1.85546875" style="5" customWidth="1"/>
    <col min="34" max="34" width="2.28515625" style="5" customWidth="1"/>
    <col min="35" max="35" width="9" style="5" customWidth="1"/>
    <col min="36" max="16384" width="6.140625" style="5"/>
  </cols>
  <sheetData>
    <row r="1" spans="1:33" ht="25.5" x14ac:dyDescent="0.35">
      <c r="A1" s="265" t="s">
        <v>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8"/>
      <c r="O1" s="8"/>
      <c r="P1" s="8"/>
      <c r="Q1" s="8"/>
      <c r="R1" s="8"/>
      <c r="S1" s="8"/>
    </row>
    <row r="2" spans="1:33" ht="15" x14ac:dyDescent="0.2">
      <c r="A2" s="266">
        <v>43484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9"/>
      <c r="P2" s="9"/>
      <c r="Q2" s="9"/>
      <c r="R2" s="9"/>
      <c r="T2" s="9" t="s">
        <v>7</v>
      </c>
      <c r="U2" s="10">
        <v>6.5972222222222222E-3</v>
      </c>
    </row>
    <row r="3" spans="1:33" ht="15" x14ac:dyDescent="0.2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11"/>
      <c r="P3" s="12"/>
      <c r="Q3" s="13"/>
      <c r="T3" s="9" t="s">
        <v>8</v>
      </c>
      <c r="U3" s="10">
        <v>6.9444444444444447E-4</v>
      </c>
    </row>
    <row r="4" spans="1:33" x14ac:dyDescent="0.2">
      <c r="A4" s="14"/>
      <c r="B4" s="14"/>
      <c r="C4" s="1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P4" s="12"/>
      <c r="Q4" s="13"/>
      <c r="S4" s="5">
        <v>1811</v>
      </c>
      <c r="U4" s="16">
        <f>SUM(U2:U3)</f>
        <v>7.2916666666666668E-3</v>
      </c>
    </row>
    <row r="5" spans="1:33" x14ac:dyDescent="0.2">
      <c r="A5" s="268" t="str">
        <f>"Ein Spiel dauert "&amp;TEXT(U2,"M:ss")&amp;" Minuten, dazwischen  "&amp;TEXT(U3,"M:ss")&amp;" Minuten Pause."</f>
        <v>Ein Spiel dauert 9:30 Minuten, dazwischen  1:00 Minuten Pause.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11"/>
      <c r="P5" s="12"/>
      <c r="Q5" s="13"/>
      <c r="U5" s="16">
        <v>1.0416666666666666E-2</v>
      </c>
    </row>
    <row r="6" spans="1:33" x14ac:dyDescent="0.2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11"/>
      <c r="P6" s="12"/>
      <c r="Q6" s="13"/>
    </row>
    <row r="7" spans="1:33" ht="15" x14ac:dyDescent="0.2">
      <c r="A7" s="18">
        <v>1</v>
      </c>
      <c r="B7" s="18" t="s">
        <v>9</v>
      </c>
      <c r="C7" s="19">
        <v>0.375</v>
      </c>
      <c r="D7" s="18"/>
      <c r="E7" s="20" t="str">
        <f>T21</f>
        <v>JFG Naab-Regen D3</v>
      </c>
      <c r="F7" s="18" t="s">
        <v>10</v>
      </c>
      <c r="G7" s="264" t="str">
        <f>T24</f>
        <v>TB/ASV Regenstauf</v>
      </c>
      <c r="H7" s="264"/>
      <c r="I7" s="264"/>
      <c r="J7" s="264"/>
      <c r="K7" s="264"/>
      <c r="L7" s="21">
        <v>3</v>
      </c>
      <c r="M7" s="18"/>
      <c r="N7" s="21">
        <v>1</v>
      </c>
      <c r="O7" s="11"/>
      <c r="P7" s="22"/>
      <c r="Q7" s="23"/>
      <c r="T7" s="5" t="s">
        <v>11</v>
      </c>
      <c r="V7" s="9"/>
      <c r="W7" s="9"/>
      <c r="X7" s="9"/>
      <c r="Y7" s="9"/>
      <c r="Z7" s="9"/>
      <c r="AA7" s="9"/>
      <c r="AB7" s="9"/>
      <c r="AC7" s="9"/>
      <c r="AD7" s="9"/>
      <c r="AF7" s="9"/>
      <c r="AG7" s="9"/>
    </row>
    <row r="8" spans="1:33" ht="15" x14ac:dyDescent="0.2">
      <c r="A8" s="24">
        <v>2</v>
      </c>
      <c r="B8" s="24" t="s">
        <v>12</v>
      </c>
      <c r="C8" s="19">
        <f t="shared" ref="C8:C19" si="0">SUM(C7+$U$4)</f>
        <v>0.38229166666666664</v>
      </c>
      <c r="D8" s="18"/>
      <c r="E8" s="20" t="str">
        <f>T26</f>
        <v>JFG Naab-Regen D4</v>
      </c>
      <c r="F8" s="18" t="s">
        <v>10</v>
      </c>
      <c r="G8" s="264" t="str">
        <f>T29</f>
        <v>SpVgg Illkofen</v>
      </c>
      <c r="H8" s="264"/>
      <c r="I8" s="264"/>
      <c r="J8" s="264"/>
      <c r="K8" s="264"/>
      <c r="L8" s="21">
        <v>3</v>
      </c>
      <c r="M8" s="18"/>
      <c r="N8" s="21">
        <v>0</v>
      </c>
      <c r="O8" s="25"/>
      <c r="P8" s="13"/>
      <c r="Q8" s="13"/>
      <c r="V8" s="9"/>
      <c r="W8" s="9"/>
      <c r="X8" s="9"/>
      <c r="Y8" s="9"/>
      <c r="Z8" s="9"/>
      <c r="AA8" s="9"/>
      <c r="AB8" s="9"/>
      <c r="AC8" s="9"/>
      <c r="AD8" s="9"/>
      <c r="AF8" s="9"/>
      <c r="AG8" s="9"/>
    </row>
    <row r="9" spans="1:33" x14ac:dyDescent="0.2">
      <c r="A9" s="24">
        <v>3</v>
      </c>
      <c r="B9" s="24" t="s">
        <v>9</v>
      </c>
      <c r="C9" s="19">
        <f t="shared" si="0"/>
        <v>0.38958333333333328</v>
      </c>
      <c r="D9" s="18"/>
      <c r="E9" s="20" t="str">
        <f>T23</f>
        <v>TSV Neutraubling</v>
      </c>
      <c r="F9" s="18" t="s">
        <v>10</v>
      </c>
      <c r="G9" s="264" t="str">
        <f>T22</f>
        <v>SCTeublitz</v>
      </c>
      <c r="H9" s="264"/>
      <c r="I9" s="264"/>
      <c r="J9" s="264"/>
      <c r="K9" s="264"/>
      <c r="L9" s="21">
        <v>1</v>
      </c>
      <c r="M9" s="18"/>
      <c r="N9" s="21">
        <v>1</v>
      </c>
      <c r="O9" s="25"/>
      <c r="P9" s="13"/>
      <c r="Q9" s="13"/>
      <c r="S9" s="26"/>
      <c r="T9" s="27" t="s">
        <v>13</v>
      </c>
      <c r="U9" s="28"/>
      <c r="V9" s="28"/>
      <c r="W9" s="28"/>
      <c r="X9" s="28"/>
      <c r="AA9" s="29"/>
    </row>
    <row r="10" spans="1:33" x14ac:dyDescent="0.2">
      <c r="A10" s="24">
        <v>4</v>
      </c>
      <c r="B10" s="24" t="s">
        <v>12</v>
      </c>
      <c r="C10" s="19">
        <f t="shared" si="0"/>
        <v>0.39687499999999992</v>
      </c>
      <c r="D10" s="13"/>
      <c r="E10" s="20" t="str">
        <f>T28</f>
        <v>TSV Kareth-Lappersdorf</v>
      </c>
      <c r="F10" s="18" t="s">
        <v>10</v>
      </c>
      <c r="G10" s="264" t="str">
        <f>T27</f>
        <v>JFG Schwarze Laber</v>
      </c>
      <c r="H10" s="264"/>
      <c r="I10" s="264"/>
      <c r="J10" s="264"/>
      <c r="K10" s="264"/>
      <c r="L10" s="21">
        <v>0</v>
      </c>
      <c r="M10" s="18"/>
      <c r="N10" s="21">
        <v>2</v>
      </c>
      <c r="O10" s="25"/>
      <c r="P10" s="13"/>
      <c r="Q10" s="13"/>
      <c r="S10" s="26"/>
      <c r="T10" s="27" t="s">
        <v>14</v>
      </c>
      <c r="U10" s="28"/>
      <c r="V10" s="28"/>
      <c r="W10" s="28"/>
      <c r="X10" s="28"/>
      <c r="AA10" s="29"/>
    </row>
    <row r="11" spans="1:33" x14ac:dyDescent="0.2">
      <c r="A11" s="24">
        <v>5</v>
      </c>
      <c r="B11" s="24" t="s">
        <v>9</v>
      </c>
      <c r="C11" s="19">
        <f t="shared" si="0"/>
        <v>0.40416666666666656</v>
      </c>
      <c r="D11" s="18"/>
      <c r="E11" s="20" t="str">
        <f>T22</f>
        <v>SCTeublitz</v>
      </c>
      <c r="F11" s="18" t="s">
        <v>10</v>
      </c>
      <c r="G11" s="264" t="str">
        <f>T21</f>
        <v>JFG Naab-Regen D3</v>
      </c>
      <c r="H11" s="264"/>
      <c r="I11" s="264"/>
      <c r="J11" s="264"/>
      <c r="K11" s="264"/>
      <c r="L11" s="21">
        <v>1</v>
      </c>
      <c r="M11" s="18"/>
      <c r="N11" s="21">
        <v>2</v>
      </c>
      <c r="O11" s="25"/>
      <c r="P11" s="13"/>
      <c r="Q11" s="13"/>
      <c r="S11" s="26"/>
      <c r="T11" s="27" t="s">
        <v>15</v>
      </c>
      <c r="U11" s="28"/>
      <c r="V11" s="28"/>
      <c r="W11" s="28"/>
      <c r="X11" s="28"/>
      <c r="AA11" s="29"/>
    </row>
    <row r="12" spans="1:33" x14ac:dyDescent="0.2">
      <c r="A12" s="24">
        <v>6</v>
      </c>
      <c r="B12" s="24" t="s">
        <v>12</v>
      </c>
      <c r="C12" s="19">
        <f t="shared" si="0"/>
        <v>0.4114583333333332</v>
      </c>
      <c r="D12" s="18"/>
      <c r="E12" s="20" t="str">
        <f>T27</f>
        <v>JFG Schwarze Laber</v>
      </c>
      <c r="F12" s="18" t="s">
        <v>10</v>
      </c>
      <c r="G12" s="264" t="str">
        <f>T26</f>
        <v>JFG Naab-Regen D4</v>
      </c>
      <c r="H12" s="264"/>
      <c r="I12" s="264"/>
      <c r="J12" s="264"/>
      <c r="K12" s="264"/>
      <c r="L12" s="21">
        <v>3</v>
      </c>
      <c r="M12" s="18"/>
      <c r="N12" s="21">
        <v>2</v>
      </c>
      <c r="O12" s="25"/>
      <c r="P12" s="13"/>
      <c r="Q12" s="13"/>
      <c r="R12" s="7"/>
      <c r="S12" s="26"/>
      <c r="T12" s="27" t="s">
        <v>16</v>
      </c>
      <c r="U12" s="28"/>
      <c r="V12" s="28"/>
      <c r="W12" s="28"/>
      <c r="X12" s="28"/>
      <c r="AA12" s="29"/>
    </row>
    <row r="13" spans="1:33" x14ac:dyDescent="0.2">
      <c r="A13" s="24">
        <v>7</v>
      </c>
      <c r="B13" s="24" t="s">
        <v>9</v>
      </c>
      <c r="C13" s="19">
        <f t="shared" si="0"/>
        <v>0.41874999999999984</v>
      </c>
      <c r="D13" s="18"/>
      <c r="E13" s="20" t="str">
        <f>T24</f>
        <v>TB/ASV Regenstauf</v>
      </c>
      <c r="F13" s="18" t="s">
        <v>10</v>
      </c>
      <c r="G13" s="264" t="str">
        <f>T23</f>
        <v>TSV Neutraubling</v>
      </c>
      <c r="H13" s="264"/>
      <c r="I13" s="264"/>
      <c r="J13" s="264"/>
      <c r="K13" s="264"/>
      <c r="L13" s="21">
        <v>1</v>
      </c>
      <c r="M13" s="18"/>
      <c r="N13" s="21">
        <v>2</v>
      </c>
      <c r="O13" s="25"/>
      <c r="P13" s="13"/>
      <c r="Q13" s="13"/>
      <c r="S13" s="26"/>
      <c r="T13" s="27" t="s">
        <v>17</v>
      </c>
      <c r="U13" s="28"/>
      <c r="V13" s="28"/>
      <c r="W13" s="28"/>
      <c r="X13" s="28"/>
      <c r="AA13" s="29"/>
    </row>
    <row r="14" spans="1:33" x14ac:dyDescent="0.2">
      <c r="A14" s="24">
        <v>8</v>
      </c>
      <c r="B14" s="24" t="s">
        <v>12</v>
      </c>
      <c r="C14" s="19">
        <f t="shared" si="0"/>
        <v>0.42604166666666649</v>
      </c>
      <c r="D14" s="18"/>
      <c r="E14" s="20" t="str">
        <f>T29</f>
        <v>SpVgg Illkofen</v>
      </c>
      <c r="F14" s="18" t="s">
        <v>10</v>
      </c>
      <c r="G14" s="264" t="str">
        <f>T28</f>
        <v>TSV Kareth-Lappersdorf</v>
      </c>
      <c r="H14" s="264"/>
      <c r="I14" s="264"/>
      <c r="J14" s="264"/>
      <c r="K14" s="264"/>
      <c r="L14" s="21">
        <v>0</v>
      </c>
      <c r="M14" s="18"/>
      <c r="N14" s="21">
        <v>3</v>
      </c>
      <c r="O14" s="25"/>
      <c r="P14" s="13"/>
      <c r="Q14" s="13"/>
      <c r="S14" s="26"/>
      <c r="T14" s="27" t="s">
        <v>18</v>
      </c>
      <c r="U14" s="28"/>
      <c r="V14" s="28"/>
      <c r="W14" s="28"/>
      <c r="X14" s="28"/>
      <c r="AA14" s="29"/>
    </row>
    <row r="15" spans="1:33" ht="15.75" customHeight="1" x14ac:dyDescent="0.2">
      <c r="A15" s="24">
        <v>9</v>
      </c>
      <c r="B15" s="24" t="s">
        <v>9</v>
      </c>
      <c r="C15" s="19">
        <f t="shared" si="0"/>
        <v>0.43333333333333313</v>
      </c>
      <c r="D15" s="18"/>
      <c r="E15" s="20" t="str">
        <f>T23</f>
        <v>TSV Neutraubling</v>
      </c>
      <c r="F15" s="18" t="s">
        <v>10</v>
      </c>
      <c r="G15" s="264" t="str">
        <f>T21</f>
        <v>JFG Naab-Regen D3</v>
      </c>
      <c r="H15" s="264"/>
      <c r="I15" s="264"/>
      <c r="J15" s="264"/>
      <c r="K15" s="264"/>
      <c r="L15" s="21">
        <v>2</v>
      </c>
      <c r="M15" s="18"/>
      <c r="N15" s="21">
        <v>3</v>
      </c>
      <c r="O15" s="25"/>
      <c r="P15" s="13"/>
      <c r="Q15" s="13"/>
      <c r="S15" s="26"/>
      <c r="T15" s="27" t="s">
        <v>19</v>
      </c>
      <c r="U15" s="28"/>
      <c r="V15" s="28"/>
      <c r="W15" s="28"/>
      <c r="X15" s="28"/>
      <c r="AA15" s="29"/>
    </row>
    <row r="16" spans="1:33" x14ac:dyDescent="0.2">
      <c r="A16" s="24">
        <v>10</v>
      </c>
      <c r="B16" s="24" t="s">
        <v>12</v>
      </c>
      <c r="C16" s="19">
        <f t="shared" si="0"/>
        <v>0.44062499999999977</v>
      </c>
      <c r="D16" s="18"/>
      <c r="E16" s="20" t="str">
        <f>T28</f>
        <v>TSV Kareth-Lappersdorf</v>
      </c>
      <c r="F16" s="18" t="s">
        <v>10</v>
      </c>
      <c r="G16" s="264" t="str">
        <f>T26</f>
        <v>JFG Naab-Regen D4</v>
      </c>
      <c r="H16" s="264"/>
      <c r="I16" s="264"/>
      <c r="J16" s="264"/>
      <c r="K16" s="264"/>
      <c r="L16" s="21">
        <v>2</v>
      </c>
      <c r="M16" s="18"/>
      <c r="N16" s="21">
        <v>0</v>
      </c>
      <c r="O16" s="25"/>
      <c r="P16" s="13"/>
      <c r="Q16" s="13"/>
      <c r="S16" s="26"/>
      <c r="T16" s="27" t="s">
        <v>20</v>
      </c>
      <c r="U16" s="28"/>
      <c r="V16" s="28"/>
      <c r="W16" s="28"/>
      <c r="X16" s="28"/>
      <c r="AA16" s="29"/>
    </row>
    <row r="17" spans="1:35" x14ac:dyDescent="0.2">
      <c r="A17" s="24">
        <v>11</v>
      </c>
      <c r="B17" s="24" t="s">
        <v>9</v>
      </c>
      <c r="C17" s="19">
        <f t="shared" si="0"/>
        <v>0.44791666666666641</v>
      </c>
      <c r="D17" s="18"/>
      <c r="E17" s="20" t="str">
        <f>T22</f>
        <v>SCTeublitz</v>
      </c>
      <c r="F17" s="18" t="s">
        <v>10</v>
      </c>
      <c r="G17" s="264" t="str">
        <f>T24</f>
        <v>TB/ASV Regenstauf</v>
      </c>
      <c r="H17" s="264"/>
      <c r="I17" s="264"/>
      <c r="J17" s="264"/>
      <c r="K17" s="264"/>
      <c r="L17" s="21">
        <v>2</v>
      </c>
      <c r="M17" s="18"/>
      <c r="N17" s="21">
        <v>0</v>
      </c>
      <c r="O17" s="25"/>
      <c r="P17" s="13"/>
      <c r="Q17" s="13"/>
      <c r="AA17" s="7"/>
    </row>
    <row r="18" spans="1:35" x14ac:dyDescent="0.2">
      <c r="A18" s="24">
        <v>12</v>
      </c>
      <c r="B18" s="24" t="s">
        <v>12</v>
      </c>
      <c r="C18" s="19">
        <f t="shared" si="0"/>
        <v>0.45520833333333305</v>
      </c>
      <c r="D18" s="24"/>
      <c r="E18" s="20" t="str">
        <f>T27</f>
        <v>JFG Schwarze Laber</v>
      </c>
      <c r="F18" s="18" t="s">
        <v>10</v>
      </c>
      <c r="G18" s="264" t="str">
        <f>T29</f>
        <v>SpVgg Illkofen</v>
      </c>
      <c r="H18" s="264"/>
      <c r="I18" s="264"/>
      <c r="J18" s="264"/>
      <c r="K18" s="264"/>
      <c r="L18" s="21">
        <v>4</v>
      </c>
      <c r="M18" s="18"/>
      <c r="N18" s="21">
        <v>1</v>
      </c>
      <c r="O18" s="25"/>
      <c r="P18" s="13"/>
      <c r="Q18" s="13"/>
    </row>
    <row r="19" spans="1:35" x14ac:dyDescent="0.2">
      <c r="A19" s="13"/>
      <c r="B19" s="13"/>
      <c r="C19" s="19">
        <f t="shared" si="0"/>
        <v>0.46249999999999969</v>
      </c>
      <c r="D19" s="24"/>
      <c r="E19" s="24"/>
      <c r="F19" s="24"/>
      <c r="G19" s="30"/>
      <c r="H19" s="31"/>
      <c r="I19" s="31"/>
      <c r="J19" s="25"/>
      <c r="K19" s="13"/>
      <c r="L19" s="13"/>
      <c r="M19" s="13"/>
      <c r="N19" s="13"/>
      <c r="O19" s="25"/>
      <c r="P19" s="13"/>
      <c r="Q19" s="13"/>
    </row>
    <row r="20" spans="1:35" ht="52.5" customHeight="1" x14ac:dyDescent="0.2">
      <c r="A20" s="13"/>
      <c r="B20" s="13"/>
      <c r="C20" s="32"/>
      <c r="D20" s="24"/>
      <c r="E20" s="24"/>
      <c r="F20" s="24"/>
      <c r="G20" s="30"/>
      <c r="H20" s="31"/>
      <c r="I20" s="31"/>
      <c r="J20" s="25"/>
      <c r="K20" s="13"/>
      <c r="L20" s="13"/>
      <c r="M20" s="13"/>
      <c r="N20" s="13"/>
      <c r="O20" s="25"/>
      <c r="P20" s="13"/>
      <c r="Q20" s="13"/>
      <c r="S20" s="33" t="s">
        <v>21</v>
      </c>
      <c r="T20" s="33"/>
      <c r="U20" s="34" t="s">
        <v>22</v>
      </c>
      <c r="V20" s="271" t="s">
        <v>23</v>
      </c>
      <c r="W20" s="271"/>
      <c r="X20" s="271"/>
      <c r="Y20" s="35"/>
      <c r="Z20" s="270" t="s">
        <v>24</v>
      </c>
      <c r="AA20" s="270"/>
      <c r="AB20" s="270"/>
      <c r="AC20" s="271" t="s">
        <v>25</v>
      </c>
      <c r="AD20" s="271"/>
      <c r="AE20" s="271"/>
      <c r="AF20" s="271" t="s">
        <v>26</v>
      </c>
      <c r="AG20" s="271"/>
      <c r="AH20" s="271"/>
      <c r="AI20" s="36"/>
    </row>
    <row r="21" spans="1:35" x14ac:dyDescent="0.2">
      <c r="C21" s="272" t="s">
        <v>21</v>
      </c>
      <c r="D21" s="37">
        <v>1</v>
      </c>
      <c r="E21" s="33" t="str">
        <f>VLOOKUP(3,R21:T24,3,0)</f>
        <v>JFG Naab-Regen D3</v>
      </c>
      <c r="F21" s="38">
        <f>VLOOKUP(3,$R$21:$U$24,4,0)</f>
        <v>9</v>
      </c>
      <c r="G21" s="39">
        <f>VLOOKUP(3,$R$21:$V$24,5,0)</f>
        <v>8</v>
      </c>
      <c r="H21" s="39" t="str">
        <f>VLOOKUP(3,$R$21:$W$24,6,0)</f>
        <v>:</v>
      </c>
      <c r="I21" s="39">
        <f>VLOOKUP(3,$R$21:$X$24,7,0)</f>
        <v>4</v>
      </c>
      <c r="K21" s="40"/>
      <c r="R21" s="7">
        <f>IF(AI21&gt;AI22,1,0)+IF(AI21&gt;AI23,1,0)+IF(AI21&gt;AI24,1,0)</f>
        <v>3</v>
      </c>
      <c r="S21" s="33" t="s">
        <v>27</v>
      </c>
      <c r="T21" s="41" t="str">
        <f>T9</f>
        <v>JFG Naab-Regen D3</v>
      </c>
      <c r="U21" s="42">
        <f>SUM(IF(Z21&gt;AB21,3,IF(Z21=AB21,1,IF(Z21&lt;AB21,0))))+SUM(IF(AC21&gt;AE21,3,IF(AC21=AE21,1,IF(AC21&lt;AE21,0))))+SUM(IF(AF21&gt;AH21,3,IF(AF21=AH21,1,IF(AF21&lt;AH21,0))))</f>
        <v>9</v>
      </c>
      <c r="V21" s="43">
        <f>SUM(Z21+AC21+AF21)</f>
        <v>8</v>
      </c>
      <c r="W21" s="43" t="s">
        <v>28</v>
      </c>
      <c r="X21" s="43">
        <f>SUM(AB21+AE21+AH21)</f>
        <v>4</v>
      </c>
      <c r="Y21" s="43">
        <f>SUM(V21-X21)</f>
        <v>4</v>
      </c>
      <c r="Z21" s="43">
        <f>L7</f>
        <v>3</v>
      </c>
      <c r="AA21" s="43">
        <f>M7</f>
        <v>0</v>
      </c>
      <c r="AB21" s="43">
        <f>N7</f>
        <v>1</v>
      </c>
      <c r="AC21" s="43">
        <f>N11</f>
        <v>2</v>
      </c>
      <c r="AD21" s="43" t="s">
        <v>28</v>
      </c>
      <c r="AE21" s="43">
        <f>L11</f>
        <v>1</v>
      </c>
      <c r="AF21" s="43">
        <f>N15</f>
        <v>3</v>
      </c>
      <c r="AG21" s="43" t="s">
        <v>28</v>
      </c>
      <c r="AH21" s="43">
        <f>L15</f>
        <v>2</v>
      </c>
      <c r="AI21" s="33">
        <f>(U21*1000000)+(Y21*1000)+V21</f>
        <v>9004008</v>
      </c>
    </row>
    <row r="22" spans="1:35" x14ac:dyDescent="0.2">
      <c r="C22" s="272"/>
      <c r="D22" s="37">
        <v>2</v>
      </c>
      <c r="E22" s="33" t="str">
        <f>VLOOKUP(2,R21:T24,3,0)</f>
        <v>SCTeublitz</v>
      </c>
      <c r="F22" s="38">
        <f>VLOOKUP(2,$R$21:$AJ$24,4,0)</f>
        <v>4</v>
      </c>
      <c r="G22" s="39">
        <f>VLOOKUP(2,$R$21:$V$24,5,0)</f>
        <v>4</v>
      </c>
      <c r="H22" s="39" t="str">
        <f>VLOOKUP(3,$R$21:$W$24,6,0)</f>
        <v>:</v>
      </c>
      <c r="I22" s="39">
        <f>VLOOKUP(2,$R$21:$X$24,7,0)</f>
        <v>3</v>
      </c>
      <c r="K22" s="44"/>
      <c r="R22" s="7">
        <f>IF(AI22&gt;AI21,1,0)+IF(AI22&gt;AI23,1,0)+IF(AI22&gt;AI24,1,0)</f>
        <v>2</v>
      </c>
      <c r="S22" s="33" t="s">
        <v>29</v>
      </c>
      <c r="T22" s="41" t="str">
        <f>T10</f>
        <v>SCTeublitz</v>
      </c>
      <c r="U22" s="42">
        <f>SUM(IF(Z22&gt;AB22,3,IF(Z22=AB22,1,IF(Z22&lt;AB22,0))))+SUM(IF(AC22&gt;AE22,3,IF(AC22=AE22,1,IF(AC22&lt;AE22,0))))+SUM(IF(AF22&gt;AH22,3,IF(AF22=AH22,1,IF(AF22&lt;AH22,0))))</f>
        <v>4</v>
      </c>
      <c r="V22" s="43">
        <f>SUM(Z22+AC22+AF22)</f>
        <v>4</v>
      </c>
      <c r="W22" s="43" t="s">
        <v>28</v>
      </c>
      <c r="X22" s="43">
        <f>SUM(AB22+AE22+AH22)</f>
        <v>3</v>
      </c>
      <c r="Y22" s="43">
        <f>SUM(V22-X22)</f>
        <v>1</v>
      </c>
      <c r="Z22" s="43">
        <f>N9</f>
        <v>1</v>
      </c>
      <c r="AA22" s="43" t="s">
        <v>28</v>
      </c>
      <c r="AB22" s="43">
        <f>L9</f>
        <v>1</v>
      </c>
      <c r="AC22" s="43">
        <f>L11</f>
        <v>1</v>
      </c>
      <c r="AD22" s="43" t="s">
        <v>28</v>
      </c>
      <c r="AE22" s="43">
        <f>N11</f>
        <v>2</v>
      </c>
      <c r="AF22" s="43">
        <f>L17</f>
        <v>2</v>
      </c>
      <c r="AG22" s="43" t="s">
        <v>28</v>
      </c>
      <c r="AH22" s="43">
        <f>N17</f>
        <v>0</v>
      </c>
      <c r="AI22" s="33">
        <f>(U22*1000000)+(Y22*1000)+V22</f>
        <v>4001004</v>
      </c>
    </row>
    <row r="23" spans="1:35" x14ac:dyDescent="0.2">
      <c r="C23" s="272"/>
      <c r="D23" s="37">
        <v>3</v>
      </c>
      <c r="E23" s="33" t="str">
        <f>VLOOKUP(1,R21:T24,3,0)</f>
        <v>TSV Neutraubling</v>
      </c>
      <c r="F23" s="38">
        <f>VLOOKUP(1,$R$21:$AJ$24,4,0)</f>
        <v>4</v>
      </c>
      <c r="G23" s="39">
        <f>VLOOKUP(1,$R$21:$V$24,5,0)</f>
        <v>5</v>
      </c>
      <c r="H23" s="39" t="str">
        <f>VLOOKUP(3,$R$21:$W$24,6,0)</f>
        <v>:</v>
      </c>
      <c r="I23" s="39">
        <f>VLOOKUP(1,$R$21:$X$24,7,0)</f>
        <v>5</v>
      </c>
      <c r="K23" s="40"/>
      <c r="R23" s="7">
        <f>IF(AI23&gt;AI21,1,0)+IF(AI23&gt;AI22,1,0)+IF(AI23&gt;AI24,1,0)</f>
        <v>1</v>
      </c>
      <c r="S23" s="33" t="s">
        <v>30</v>
      </c>
      <c r="T23" s="41" t="str">
        <f>T11</f>
        <v>TSV Neutraubling</v>
      </c>
      <c r="U23" s="42">
        <f>SUM(IF(Z23&gt;AB23,3,IF(Z23=AB23,1,IF(Z23&lt;AB23,0))))+SUM(IF(AC23&gt;AE23,3,IF(AC23=AE23,1,IF(AC23&lt;AE23,0))))+SUM(IF(AF23&gt;AH23,3,IF(AF23=AH23,1,IF(AF23&lt;AH23,0))))</f>
        <v>4</v>
      </c>
      <c r="V23" s="43">
        <f>SUM(Z23+AC23+AF23)</f>
        <v>5</v>
      </c>
      <c r="W23" s="43" t="s">
        <v>28</v>
      </c>
      <c r="X23" s="43">
        <f>SUM(AB23+AE23+AH23)</f>
        <v>5</v>
      </c>
      <c r="Y23" s="43">
        <f>SUM(V23-X23)</f>
        <v>0</v>
      </c>
      <c r="Z23" s="43">
        <f>L9</f>
        <v>1</v>
      </c>
      <c r="AA23" s="43" t="s">
        <v>28</v>
      </c>
      <c r="AB23" s="43">
        <f>N9</f>
        <v>1</v>
      </c>
      <c r="AC23" s="43">
        <f>N13</f>
        <v>2</v>
      </c>
      <c r="AD23" s="43" t="s">
        <v>28</v>
      </c>
      <c r="AE23" s="43">
        <f>L13</f>
        <v>1</v>
      </c>
      <c r="AF23" s="43">
        <f>L15</f>
        <v>2</v>
      </c>
      <c r="AG23" s="43" t="s">
        <v>28</v>
      </c>
      <c r="AH23" s="43">
        <f>N15</f>
        <v>3</v>
      </c>
      <c r="AI23" s="33">
        <f>(U23*1000000)+(Y23*1000)+V23</f>
        <v>4000005</v>
      </c>
    </row>
    <row r="24" spans="1:35" x14ac:dyDescent="0.2">
      <c r="C24" s="272"/>
      <c r="D24" s="37">
        <v>4</v>
      </c>
      <c r="E24" s="33" t="str">
        <f>VLOOKUP(0,R21:T24,3,0)</f>
        <v>TB/ASV Regenstauf</v>
      </c>
      <c r="F24" s="38">
        <f>VLOOKUP(0,$R$21:$AJ$24,4,0)</f>
        <v>0</v>
      </c>
      <c r="G24" s="39">
        <f>VLOOKUP(0,$R$21:$V$24,5,0)</f>
        <v>2</v>
      </c>
      <c r="H24" s="39" t="str">
        <f>VLOOKUP(3,$R$21:$W$24,6,0)</f>
        <v>:</v>
      </c>
      <c r="I24" s="39">
        <f>VLOOKUP(0,$R$21:$X$24,7,0)</f>
        <v>7</v>
      </c>
      <c r="K24" s="40"/>
      <c r="R24" s="7">
        <f>IF(AI24&gt;AI22,1,0)+IF(AI24&gt;AI23,1,0)+IF(AI24&gt;AI21,1,0)</f>
        <v>0</v>
      </c>
      <c r="S24" s="33" t="s">
        <v>31</v>
      </c>
      <c r="T24" s="41" t="str">
        <f>T12</f>
        <v>TB/ASV Regenstauf</v>
      </c>
      <c r="U24" s="42">
        <f>SUM(IF(Z24&gt;AB24,3,IF(Z24=AB24,1,IF(Z24&lt;AB24,0))))+SUM(IF(AC24&gt;AE24,3,IF(AC24=AE24,1,IF(AC24&lt;AE24,0))))+SUM(IF(AF24&gt;AH24,3,IF(AF24=AH24,1,IF(AF24&lt;AH24,0))))</f>
        <v>0</v>
      </c>
      <c r="V24" s="43">
        <f>SUM(Z24+AC24+AF24)</f>
        <v>2</v>
      </c>
      <c r="W24" s="43" t="s">
        <v>28</v>
      </c>
      <c r="X24" s="43">
        <f>SUM(AB24+AE24+AH24)</f>
        <v>7</v>
      </c>
      <c r="Y24" s="43">
        <f>SUM(V24-X24)</f>
        <v>-5</v>
      </c>
      <c r="Z24" s="43">
        <f>N7</f>
        <v>1</v>
      </c>
      <c r="AA24" s="43" t="s">
        <v>28</v>
      </c>
      <c r="AB24" s="43">
        <f>L7</f>
        <v>3</v>
      </c>
      <c r="AC24" s="43">
        <f>L13</f>
        <v>1</v>
      </c>
      <c r="AD24" s="43" t="s">
        <v>28</v>
      </c>
      <c r="AE24" s="43">
        <f>N13</f>
        <v>2</v>
      </c>
      <c r="AF24" s="43">
        <f>N17</f>
        <v>0</v>
      </c>
      <c r="AG24" s="43" t="s">
        <v>28</v>
      </c>
      <c r="AH24" s="43">
        <f>L17</f>
        <v>2</v>
      </c>
      <c r="AI24" s="33">
        <f>(U24*1000000)+(Y24*1000)+V24</f>
        <v>-4998</v>
      </c>
    </row>
    <row r="25" spans="1:35" ht="48.75" customHeight="1" x14ac:dyDescent="0.2">
      <c r="C25" s="45"/>
      <c r="D25" s="46"/>
      <c r="E25" s="46"/>
      <c r="F25" s="46" t="s">
        <v>22</v>
      </c>
      <c r="G25" s="269" t="s">
        <v>23</v>
      </c>
      <c r="H25" s="269"/>
      <c r="I25" s="269"/>
      <c r="J25" s="13"/>
      <c r="R25" s="7"/>
      <c r="S25" s="47" t="s">
        <v>32</v>
      </c>
      <c r="T25" s="47"/>
      <c r="U25" s="48" t="s">
        <v>22</v>
      </c>
      <c r="V25" s="273" t="s">
        <v>23</v>
      </c>
      <c r="W25" s="273"/>
      <c r="X25" s="273"/>
      <c r="Y25" s="49"/>
      <c r="Z25" s="274" t="s">
        <v>24</v>
      </c>
      <c r="AA25" s="274"/>
      <c r="AB25" s="274"/>
      <c r="AC25" s="273" t="s">
        <v>25</v>
      </c>
      <c r="AD25" s="273"/>
      <c r="AE25" s="273"/>
      <c r="AF25" s="273" t="s">
        <v>26</v>
      </c>
      <c r="AG25" s="273"/>
      <c r="AH25" s="273"/>
      <c r="AI25" s="50"/>
    </row>
    <row r="26" spans="1:35" x14ac:dyDescent="0.2">
      <c r="C26" s="276" t="s">
        <v>32</v>
      </c>
      <c r="D26" s="51">
        <v>1</v>
      </c>
      <c r="E26" s="52" t="str">
        <f>VLOOKUP(3,R26:T29,3,0)</f>
        <v>JFG Schwarze Laber</v>
      </c>
      <c r="F26" s="52">
        <f>VLOOKUP(3,$R$26:$U$29,4,0)</f>
        <v>9</v>
      </c>
      <c r="G26" s="17">
        <f>VLOOKUP(3,$R$26:$V$29,5,0)</f>
        <v>9</v>
      </c>
      <c r="H26" s="17" t="str">
        <f>VLOOKUP(3,$R$21:$W$24,6,0)</f>
        <v>:</v>
      </c>
      <c r="I26" s="17">
        <f>VLOOKUP(3,$R$26:$X$29,7,0)</f>
        <v>3</v>
      </c>
      <c r="J26" s="5" t="str">
        <f>VLOOKUP(3,$R$21:$AI$24,13,0)</f>
        <v>:</v>
      </c>
      <c r="R26" s="7">
        <f>IF(AI26&gt;AI27,1,0)+IF(AI26&gt;AI28,1,0)+IF(AI26&gt;AI29,1,0)</f>
        <v>1</v>
      </c>
      <c r="S26" s="47" t="s">
        <v>27</v>
      </c>
      <c r="T26" s="53" t="str">
        <f>T13</f>
        <v>JFG Naab-Regen D4</v>
      </c>
      <c r="U26" s="54">
        <f>SUM(IF(Z26&gt;AB26,3,IF(Z26=AB26,1,IF(Z26&lt;AB26,0))))+SUM(IF(AC26&gt;AE26,3,IF(AC26=AE26,1,IF(AC26&lt;AE26,0))))+SUM(IF(AF26&gt;AH26,3,IF(AF26=AH26,1,IF(AF26&lt;AH26,0))))</f>
        <v>3</v>
      </c>
      <c r="V26" s="55">
        <f>SUM(Z26+AC26+AF26)</f>
        <v>5</v>
      </c>
      <c r="W26" s="55"/>
      <c r="X26" s="55">
        <f>SUM(AB26+AE26+AH26)</f>
        <v>5</v>
      </c>
      <c r="Y26" s="55">
        <f>SUM(V26-X26)</f>
        <v>0</v>
      </c>
      <c r="Z26" s="56">
        <f>L8</f>
        <v>3</v>
      </c>
      <c r="AA26" s="56" t="s">
        <v>28</v>
      </c>
      <c r="AB26" s="55">
        <f>N8</f>
        <v>0</v>
      </c>
      <c r="AC26" s="55">
        <f>N12</f>
        <v>2</v>
      </c>
      <c r="AD26" s="55" t="s">
        <v>28</v>
      </c>
      <c r="AE26" s="55">
        <f>L12</f>
        <v>3</v>
      </c>
      <c r="AF26" s="55">
        <f>N16</f>
        <v>0</v>
      </c>
      <c r="AG26" s="55" t="s">
        <v>28</v>
      </c>
      <c r="AH26" s="55">
        <f>L16</f>
        <v>2</v>
      </c>
      <c r="AI26" s="47">
        <f>U26*1000000+Y26*1000+V26</f>
        <v>3000005</v>
      </c>
    </row>
    <row r="27" spans="1:35" x14ac:dyDescent="0.2">
      <c r="C27" s="276"/>
      <c r="D27" s="51">
        <v>2</v>
      </c>
      <c r="E27" s="52" t="str">
        <f>VLOOKUP(2,R26:T29,3,0)</f>
        <v>TSV Kareth-Lappersdorf</v>
      </c>
      <c r="F27" s="52">
        <f>VLOOKUP(2,$R$26:$AJ$29,4,0)</f>
        <v>6</v>
      </c>
      <c r="G27" s="17">
        <f>VLOOKUP(2,$R$26:$V$29,5,0)</f>
        <v>5</v>
      </c>
      <c r="H27" s="17" t="str">
        <f>VLOOKUP(3,$R$21:$W$24,6,0)</f>
        <v>:</v>
      </c>
      <c r="I27" s="17">
        <f>VLOOKUP(2,$R$26:$X$29,7,0)</f>
        <v>2</v>
      </c>
      <c r="J27" s="5" t="str">
        <f>VLOOKUP(2,$R$21:$AI$24,13,0)</f>
        <v>:</v>
      </c>
      <c r="R27" s="7">
        <f>IF(AI27&gt;AI26,1,0)+IF(AI27&gt;AI28,1,0)+IF(AI27&gt;AI29,1,0)</f>
        <v>3</v>
      </c>
      <c r="S27" s="47" t="s">
        <v>29</v>
      </c>
      <c r="T27" s="53" t="str">
        <f>T14</f>
        <v>JFG Schwarze Laber</v>
      </c>
      <c r="U27" s="54">
        <f>SUM(IF(Z27&gt;AB27,3,IF(Z27=AB27,1,IF(Z27&lt;AB27,0))))+SUM(IF(AC27&gt;AE27,3,IF(AC27=AE27,1,IF(AC27&lt;AE27,0))))+SUM(IF(AF27&gt;AH27,3,IF(AF27=AH27,1,IF(AF27&lt;AH27,0))))</f>
        <v>9</v>
      </c>
      <c r="V27" s="55">
        <f>SUM(Z27+AC27+AF27)</f>
        <v>9</v>
      </c>
      <c r="W27" s="55" t="s">
        <v>28</v>
      </c>
      <c r="X27" s="55">
        <f>SUM(AB27+AE27+AH27)</f>
        <v>3</v>
      </c>
      <c r="Y27" s="55">
        <f>SUM(V27-X27)</f>
        <v>6</v>
      </c>
      <c r="Z27" s="55">
        <f>N10</f>
        <v>2</v>
      </c>
      <c r="AA27" s="55" t="s">
        <v>28</v>
      </c>
      <c r="AB27" s="55">
        <f>L10</f>
        <v>0</v>
      </c>
      <c r="AC27" s="55">
        <f>L12</f>
        <v>3</v>
      </c>
      <c r="AD27" s="55" t="s">
        <v>28</v>
      </c>
      <c r="AE27" s="55">
        <f>N12</f>
        <v>2</v>
      </c>
      <c r="AF27" s="55">
        <f>L18</f>
        <v>4</v>
      </c>
      <c r="AG27" s="55" t="s">
        <v>28</v>
      </c>
      <c r="AH27" s="55">
        <f>N18</f>
        <v>1</v>
      </c>
      <c r="AI27" s="47">
        <f>U27*1000000+Y27*1000+V27</f>
        <v>9006009</v>
      </c>
    </row>
    <row r="28" spans="1:35" x14ac:dyDescent="0.2">
      <c r="C28" s="276"/>
      <c r="D28" s="51">
        <v>3</v>
      </c>
      <c r="E28" s="52" t="str">
        <f>VLOOKUP(1,R26:T29,3,0)</f>
        <v>JFG Naab-Regen D4</v>
      </c>
      <c r="F28" s="52">
        <f>VLOOKUP(1,$R$26:$AJ$29,4,0)</f>
        <v>3</v>
      </c>
      <c r="G28" s="17">
        <f>VLOOKUP(1,$R$26:$V$29,5,0)</f>
        <v>5</v>
      </c>
      <c r="H28" s="17" t="str">
        <f>VLOOKUP(3,$R$21:$W$24,6,0)</f>
        <v>:</v>
      </c>
      <c r="I28" s="17">
        <f>VLOOKUP(1,$R$26:$X$29,7,0)</f>
        <v>5</v>
      </c>
      <c r="J28" s="5" t="str">
        <f>VLOOKUP(1,$R$21:$AI$24,13,0)</f>
        <v>:</v>
      </c>
      <c r="R28" s="7">
        <f>IF(AI28&gt;AI26,1,0)+IF(AI28&gt;AI27,1,0)+IF(AI28&gt;AI29,1,0)</f>
        <v>2</v>
      </c>
      <c r="S28" s="47" t="s">
        <v>30</v>
      </c>
      <c r="T28" s="53" t="str">
        <f>T15</f>
        <v>TSV Kareth-Lappersdorf</v>
      </c>
      <c r="U28" s="54">
        <f>SUM(IF(Z28&gt;AB28,3,IF(Z28=AB28,1,IF(Z28&lt;AB28,0))))+SUM(IF(AC28&gt;AE28,3,IF(AC28=AE28,1,IF(AC28&lt;AE28,0))))+SUM(IF(AF28&gt;AH28,3,IF(AF28=AH28,1,IF(AF28&lt;AH28,0))))</f>
        <v>6</v>
      </c>
      <c r="V28" s="55">
        <f>SUM(Z28+AC28+AF28)</f>
        <v>5</v>
      </c>
      <c r="W28" s="55" t="s">
        <v>28</v>
      </c>
      <c r="X28" s="55">
        <f>SUM(AB28+AE28+AH28)</f>
        <v>2</v>
      </c>
      <c r="Y28" s="55">
        <f>SUM(V28-X28)</f>
        <v>3</v>
      </c>
      <c r="Z28" s="55">
        <f>L10</f>
        <v>0</v>
      </c>
      <c r="AA28" s="55" t="s">
        <v>28</v>
      </c>
      <c r="AB28" s="55">
        <f>N10</f>
        <v>2</v>
      </c>
      <c r="AC28" s="55">
        <f>N14</f>
        <v>3</v>
      </c>
      <c r="AD28" s="55" t="s">
        <v>28</v>
      </c>
      <c r="AE28" s="55">
        <f>L14</f>
        <v>0</v>
      </c>
      <c r="AF28" s="55">
        <f>L16</f>
        <v>2</v>
      </c>
      <c r="AG28" s="55" t="s">
        <v>28</v>
      </c>
      <c r="AH28" s="55">
        <f>N16</f>
        <v>0</v>
      </c>
      <c r="AI28" s="47">
        <f>U28*1000000+Y28*1000+V28</f>
        <v>6003005</v>
      </c>
    </row>
    <row r="29" spans="1:35" x14ac:dyDescent="0.2">
      <c r="C29" s="276"/>
      <c r="D29" s="51">
        <v>4</v>
      </c>
      <c r="E29" s="52" t="str">
        <f>VLOOKUP(0,R26:T29,3,0)</f>
        <v>SpVgg Illkofen</v>
      </c>
      <c r="F29" s="52">
        <f>VLOOKUP(0,$R$26:$AJ$29,4,0)</f>
        <v>0</v>
      </c>
      <c r="G29" s="17">
        <f>VLOOKUP(0,$R$26:$V$29,5,0)</f>
        <v>1</v>
      </c>
      <c r="H29" s="17" t="str">
        <f>VLOOKUP(3,$R$21:$W$24,6,0)</f>
        <v>:</v>
      </c>
      <c r="I29" s="17">
        <f>VLOOKUP(0,$R$26:$X$29,7,0)</f>
        <v>10</v>
      </c>
      <c r="J29" s="5" t="str">
        <f>VLOOKUP(0,$R$21:$AI$24,13,0)</f>
        <v>:</v>
      </c>
      <c r="R29" s="7">
        <f>IF(AI29&gt;AI27,1,0)+IF(AI29&gt;AI28,1,0)+IF(AI29&gt;AI26,1,0)</f>
        <v>0</v>
      </c>
      <c r="S29" s="47" t="s">
        <v>31</v>
      </c>
      <c r="T29" s="53" t="str">
        <f>T16</f>
        <v>SpVgg Illkofen</v>
      </c>
      <c r="U29" s="54">
        <f>SUM(IF(Z29&gt;AB29,3,IF(Z29=AB29,1,IF(Z29&lt;AB29,0))))+SUM(IF(AC29&gt;AE29,3,IF(AC29=AE29,1,IF(AC29&lt;AE29,0))))+SUM(IF(AF29&gt;AH29,3,IF(AF29=AH29,1,IF(AF29&lt;AH29,0))))</f>
        <v>0</v>
      </c>
      <c r="V29" s="55">
        <f>SUM(Z29+AC29+AF29)</f>
        <v>1</v>
      </c>
      <c r="W29" s="55" t="s">
        <v>28</v>
      </c>
      <c r="X29" s="55">
        <f>SUM(AB29+AE29+AH29)</f>
        <v>10</v>
      </c>
      <c r="Y29" s="55">
        <f>SUM(V29-X29)</f>
        <v>-9</v>
      </c>
      <c r="Z29" s="55">
        <f>N8</f>
        <v>0</v>
      </c>
      <c r="AA29" s="55" t="s">
        <v>28</v>
      </c>
      <c r="AB29" s="55">
        <f>L8</f>
        <v>3</v>
      </c>
      <c r="AC29" s="55">
        <f>L14</f>
        <v>0</v>
      </c>
      <c r="AD29" s="55" t="s">
        <v>28</v>
      </c>
      <c r="AE29" s="55">
        <f>N14</f>
        <v>3</v>
      </c>
      <c r="AF29" s="55">
        <f>N18</f>
        <v>1</v>
      </c>
      <c r="AG29" s="55" t="s">
        <v>28</v>
      </c>
      <c r="AH29" s="55">
        <f>L18</f>
        <v>4</v>
      </c>
      <c r="AI29" s="47">
        <f>U29*1000000+Y29*1000+V29</f>
        <v>-8999</v>
      </c>
    </row>
    <row r="30" spans="1:35" x14ac:dyDescent="0.2">
      <c r="A30" s="277" t="s">
        <v>33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5"/>
      <c r="P30" s="13"/>
      <c r="Q30" s="13"/>
    </row>
    <row r="31" spans="1:35" x14ac:dyDescent="0.2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25"/>
      <c r="P31" s="13"/>
      <c r="Q31" s="13"/>
    </row>
    <row r="32" spans="1:35" x14ac:dyDescent="0.2">
      <c r="A32" s="58"/>
      <c r="B32" s="58"/>
      <c r="C32" s="59"/>
      <c r="D32" s="58"/>
      <c r="E32" s="58" t="str">
        <f>E21</f>
        <v>JFG Naab-Regen D3</v>
      </c>
      <c r="F32" s="58" t="s">
        <v>10</v>
      </c>
      <c r="G32" s="278" t="str">
        <f>E22</f>
        <v>SCTeublitz</v>
      </c>
      <c r="H32" s="278"/>
      <c r="I32" s="278"/>
      <c r="J32" s="278"/>
      <c r="K32" s="278"/>
      <c r="L32" s="61">
        <v>2</v>
      </c>
      <c r="M32" s="58" t="s">
        <v>28</v>
      </c>
      <c r="N32" s="61">
        <v>1</v>
      </c>
      <c r="P32" s="13"/>
      <c r="Q32" s="13"/>
    </row>
    <row r="33" spans="1:35" x14ac:dyDescent="0.2">
      <c r="A33" s="58"/>
      <c r="B33" s="58"/>
      <c r="C33" s="59"/>
      <c r="D33" s="58"/>
      <c r="E33" s="58" t="str">
        <f>E26</f>
        <v>JFG Schwarze Laber</v>
      </c>
      <c r="F33" s="58" t="s">
        <v>10</v>
      </c>
      <c r="G33" s="278" t="str">
        <f>E27</f>
        <v>TSV Kareth-Lappersdorf</v>
      </c>
      <c r="H33" s="278"/>
      <c r="I33" s="278"/>
      <c r="J33" s="278"/>
      <c r="K33" s="278"/>
      <c r="L33" s="61">
        <v>2</v>
      </c>
      <c r="M33" s="58" t="s">
        <v>28</v>
      </c>
      <c r="N33" s="61">
        <v>0</v>
      </c>
      <c r="P33" s="13"/>
      <c r="Q33" s="13"/>
      <c r="T33" s="5" t="s">
        <v>34</v>
      </c>
      <c r="U33" s="5">
        <f>SUM(L7:L18,N7:N18)</f>
        <v>39</v>
      </c>
    </row>
    <row r="34" spans="1:35" x14ac:dyDescent="0.2">
      <c r="A34" s="62"/>
      <c r="B34" s="62"/>
      <c r="C34" s="63"/>
      <c r="D34" s="62"/>
      <c r="E34" s="62" t="str">
        <f>E23</f>
        <v>TSV Neutraubling</v>
      </c>
      <c r="F34" s="62" t="s">
        <v>10</v>
      </c>
      <c r="G34" s="279" t="str">
        <f>E24</f>
        <v>TB/ASV Regenstauf</v>
      </c>
      <c r="H34" s="279"/>
      <c r="I34" s="279"/>
      <c r="J34" s="279"/>
      <c r="K34" s="279"/>
      <c r="L34" s="64">
        <v>2</v>
      </c>
      <c r="M34" s="62" t="s">
        <v>28</v>
      </c>
      <c r="N34" s="64">
        <v>1</v>
      </c>
      <c r="P34" s="13"/>
      <c r="Q34" s="13"/>
      <c r="T34" s="5" t="s">
        <v>35</v>
      </c>
      <c r="U34" s="5">
        <f>SUM(L38:L45,N38:N45)</f>
        <v>20</v>
      </c>
      <c r="V34" s="13"/>
      <c r="W34" s="13"/>
      <c r="X34" s="13"/>
    </row>
    <row r="35" spans="1:35" x14ac:dyDescent="0.2">
      <c r="A35" s="62"/>
      <c r="B35" s="62"/>
      <c r="C35" s="63"/>
      <c r="D35" s="62"/>
      <c r="E35" s="62" t="str">
        <f>E28</f>
        <v>JFG Naab-Regen D4</v>
      </c>
      <c r="F35" s="62" t="s">
        <v>10</v>
      </c>
      <c r="G35" s="279" t="str">
        <f>E29</f>
        <v>SpVgg Illkofen</v>
      </c>
      <c r="H35" s="279"/>
      <c r="I35" s="279"/>
      <c r="J35" s="279"/>
      <c r="K35" s="279"/>
      <c r="L35" s="64">
        <v>3</v>
      </c>
      <c r="M35" s="62" t="s">
        <v>28</v>
      </c>
      <c r="N35" s="64">
        <v>0</v>
      </c>
      <c r="P35" s="13"/>
      <c r="Q35" s="13"/>
      <c r="T35" s="5" t="s">
        <v>36</v>
      </c>
      <c r="U35" s="5">
        <f>SUM(U33:U34)</f>
        <v>59</v>
      </c>
    </row>
    <row r="36" spans="1:35" x14ac:dyDescent="0.2">
      <c r="O36" s="65"/>
      <c r="T36" s="5" t="s">
        <v>37</v>
      </c>
      <c r="U36" s="5">
        <f>A45</f>
        <v>20</v>
      </c>
    </row>
    <row r="37" spans="1:35" x14ac:dyDescent="0.2">
      <c r="A37" s="280" t="str">
        <f>"Ein Spiel dauert "&amp;TEXT(U4,"M:ss")&amp;" Minuten, dazwischen  "&amp;TEXT(U3,"M:ss")&amp;" Minuten Pause."</f>
        <v>Ein Spiel dauert 10:30 Minuten, dazwischen  1:00 Minuten Pause.</v>
      </c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65"/>
      <c r="U37" s="5">
        <f>SUM(U35/U36)</f>
        <v>2.95</v>
      </c>
    </row>
    <row r="38" spans="1:35" x14ac:dyDescent="0.2">
      <c r="A38" s="24">
        <v>13</v>
      </c>
      <c r="B38" s="24"/>
      <c r="C38" s="66">
        <f>SUM(C18+$U$5)</f>
        <v>0.46562499999999973</v>
      </c>
      <c r="D38" s="18"/>
      <c r="E38" s="18" t="str">
        <f>E23</f>
        <v>TSV Neutraubling</v>
      </c>
      <c r="F38" s="18" t="s">
        <v>10</v>
      </c>
      <c r="G38" s="275" t="str">
        <f>T52</f>
        <v>SpVgg Illkofen</v>
      </c>
      <c r="H38" s="275"/>
      <c r="I38" s="275"/>
      <c r="J38" s="275"/>
      <c r="K38" s="275"/>
      <c r="L38" s="21">
        <v>0</v>
      </c>
      <c r="M38" s="18"/>
      <c r="N38" s="21">
        <v>0</v>
      </c>
      <c r="O38" s="65"/>
    </row>
    <row r="39" spans="1:35" x14ac:dyDescent="0.2">
      <c r="A39" s="24">
        <v>14</v>
      </c>
      <c r="B39" s="24"/>
      <c r="C39" s="66">
        <f t="shared" ref="C39:C46" si="1">SUM(C38+$U$4)</f>
        <v>0.47291666666666637</v>
      </c>
      <c r="D39" s="18"/>
      <c r="E39" s="18" t="str">
        <f>T44</f>
        <v>JFG Naab-Regen D3</v>
      </c>
      <c r="F39" s="18" t="s">
        <v>10</v>
      </c>
      <c r="G39" s="275" t="str">
        <f>T47</f>
        <v>TSV Kareth-Lappersdorf</v>
      </c>
      <c r="H39" s="275"/>
      <c r="I39" s="275"/>
      <c r="J39" s="275"/>
      <c r="K39" s="275"/>
      <c r="L39" s="21">
        <v>2</v>
      </c>
      <c r="M39" s="18"/>
      <c r="N39" s="21">
        <v>0</v>
      </c>
      <c r="O39" s="65"/>
    </row>
    <row r="40" spans="1:35" x14ac:dyDescent="0.2">
      <c r="A40" s="24">
        <v>15</v>
      </c>
      <c r="B40" s="24"/>
      <c r="C40" s="66">
        <f t="shared" si="1"/>
        <v>0.48020833333333302</v>
      </c>
      <c r="D40" s="18"/>
      <c r="E40" s="18" t="str">
        <f>T50</f>
        <v>TB/ASV Regenstauf</v>
      </c>
      <c r="F40" s="18" t="s">
        <v>10</v>
      </c>
      <c r="G40" s="275" t="str">
        <f>T51</f>
        <v>JFG Naab-Regen D4</v>
      </c>
      <c r="H40" s="275"/>
      <c r="I40" s="275"/>
      <c r="J40" s="275"/>
      <c r="K40" s="275"/>
      <c r="L40" s="21">
        <v>3</v>
      </c>
      <c r="M40" s="18"/>
      <c r="N40" s="21">
        <v>0</v>
      </c>
      <c r="O40" s="65"/>
    </row>
    <row r="41" spans="1:35" x14ac:dyDescent="0.2">
      <c r="A41" s="24">
        <v>16</v>
      </c>
      <c r="B41" s="24"/>
      <c r="C41" s="66">
        <f t="shared" si="1"/>
        <v>0.48749999999999966</v>
      </c>
      <c r="D41" s="18"/>
      <c r="E41" s="18" t="str">
        <f>T45</f>
        <v>SCTeublitz</v>
      </c>
      <c r="F41" s="18" t="s">
        <v>10</v>
      </c>
      <c r="G41" s="275" t="str">
        <f>T46</f>
        <v>JFG Schwarze Laber</v>
      </c>
      <c r="H41" s="275"/>
      <c r="I41" s="275"/>
      <c r="J41" s="275"/>
      <c r="K41" s="275"/>
      <c r="L41" s="21">
        <v>1</v>
      </c>
      <c r="M41" s="18"/>
      <c r="N41" s="21">
        <v>2</v>
      </c>
    </row>
    <row r="42" spans="1:35" x14ac:dyDescent="0.2">
      <c r="A42" s="24">
        <v>17</v>
      </c>
      <c r="B42" s="24"/>
      <c r="C42" s="66">
        <f t="shared" si="1"/>
        <v>0.4947916666666663</v>
      </c>
      <c r="D42" s="18"/>
      <c r="E42" s="18" t="str">
        <f>T50</f>
        <v>TB/ASV Regenstauf</v>
      </c>
      <c r="F42" s="18" t="s">
        <v>10</v>
      </c>
      <c r="G42" s="275" t="str">
        <f>T52</f>
        <v>SpVgg Illkofen</v>
      </c>
      <c r="H42" s="275"/>
      <c r="I42" s="275"/>
      <c r="J42" s="275"/>
      <c r="K42" s="275"/>
      <c r="L42" s="21">
        <v>4</v>
      </c>
      <c r="M42" s="18"/>
      <c r="N42" s="21">
        <v>0</v>
      </c>
      <c r="P42" s="13"/>
      <c r="Q42" s="13"/>
    </row>
    <row r="43" spans="1:35" x14ac:dyDescent="0.2">
      <c r="A43" s="24">
        <v>18</v>
      </c>
      <c r="B43" s="24"/>
      <c r="C43" s="66">
        <f t="shared" si="1"/>
        <v>0.50208333333333299</v>
      </c>
      <c r="D43" s="18"/>
      <c r="E43" s="18" t="str">
        <f>T45</f>
        <v>SCTeublitz</v>
      </c>
      <c r="F43" s="18" t="s">
        <v>10</v>
      </c>
      <c r="G43" s="275" t="str">
        <f>T47</f>
        <v>TSV Kareth-Lappersdorf</v>
      </c>
      <c r="H43" s="275"/>
      <c r="I43" s="275"/>
      <c r="J43" s="275"/>
      <c r="K43" s="275"/>
      <c r="L43" s="21">
        <v>0</v>
      </c>
      <c r="M43" s="18"/>
      <c r="N43" s="21">
        <v>4</v>
      </c>
      <c r="O43" s="25"/>
      <c r="R43" s="58"/>
      <c r="S43" s="58"/>
      <c r="T43" s="67" t="s">
        <v>38</v>
      </c>
      <c r="U43" s="68"/>
      <c r="V43" s="282" t="s">
        <v>23</v>
      </c>
      <c r="W43" s="282"/>
      <c r="X43" s="282"/>
      <c r="Y43" s="69"/>
      <c r="Z43" s="283" t="s">
        <v>39</v>
      </c>
      <c r="AA43" s="283"/>
      <c r="AB43" s="283"/>
      <c r="AC43" s="284" t="s">
        <v>25</v>
      </c>
      <c r="AD43" s="284"/>
      <c r="AE43" s="284"/>
      <c r="AF43" s="282" t="s">
        <v>26</v>
      </c>
      <c r="AG43" s="282"/>
      <c r="AH43" s="282"/>
      <c r="AI43" s="70"/>
    </row>
    <row r="44" spans="1:35" ht="14.25" customHeight="1" x14ac:dyDescent="0.2">
      <c r="A44" s="24">
        <v>19</v>
      </c>
      <c r="B44" s="24"/>
      <c r="C44" s="66">
        <f t="shared" si="1"/>
        <v>0.50937499999999969</v>
      </c>
      <c r="D44" s="18"/>
      <c r="E44" s="18" t="str">
        <f>T49</f>
        <v>TSV Neutraubling</v>
      </c>
      <c r="F44" s="18" t="s">
        <v>10</v>
      </c>
      <c r="G44" s="275" t="str">
        <f>T51</f>
        <v>JFG Naab-Regen D4</v>
      </c>
      <c r="H44" s="275"/>
      <c r="I44" s="275"/>
      <c r="J44" s="275"/>
      <c r="K44" s="275"/>
      <c r="L44" s="21">
        <v>1</v>
      </c>
      <c r="M44" s="18"/>
      <c r="N44" s="21">
        <v>0</v>
      </c>
      <c r="O44" s="25"/>
      <c r="R44" s="58">
        <f>IF(AI44&gt;AI45,1,0)+IF(AI44&gt;AI46,1,0)+IF(AI44&gt;AI47,1,0)</f>
        <v>3</v>
      </c>
      <c r="S44" s="58" t="s">
        <v>27</v>
      </c>
      <c r="T44" s="67" t="str">
        <f>E21</f>
        <v>JFG Naab-Regen D3</v>
      </c>
      <c r="U44" s="71">
        <f>SUM(IF(Z44&gt;AB44,3,IF(Z44=AB44,1,IF(Z44&lt;AB44,0))))+SUM(IF(AC44&gt;AE44,3,IF(AC44=AE44,1,IF(AC44&lt;AE44,0))))+SUM(IF(AF44&gt;AH44,3,IF(AF44=AH44,1,IF(AF44&lt;AH44,0))))</f>
        <v>9</v>
      </c>
      <c r="V44" s="71">
        <f>SUM(Z44+AC44+AF44)</f>
        <v>6</v>
      </c>
      <c r="W44" s="71" t="s">
        <v>28</v>
      </c>
      <c r="X44" s="72">
        <f>SUM(AB44+AE44+AH44)</f>
        <v>2</v>
      </c>
      <c r="Y44" s="73">
        <f>SUM(V44-X44)</f>
        <v>4</v>
      </c>
      <c r="Z44" s="74">
        <f>L32</f>
        <v>2</v>
      </c>
      <c r="AA44" s="75" t="s">
        <v>28</v>
      </c>
      <c r="AB44" s="76">
        <f>N32</f>
        <v>1</v>
      </c>
      <c r="AC44" s="74">
        <f>L39</f>
        <v>2</v>
      </c>
      <c r="AD44" s="75" t="s">
        <v>28</v>
      </c>
      <c r="AE44" s="76">
        <f>N39</f>
        <v>0</v>
      </c>
      <c r="AF44" s="77">
        <f>L45</f>
        <v>2</v>
      </c>
      <c r="AG44" s="60" t="s">
        <v>28</v>
      </c>
      <c r="AH44" s="78">
        <f>N45</f>
        <v>1</v>
      </c>
      <c r="AI44" s="71">
        <f>(U44*1000000)+(Y44*1000)+V44</f>
        <v>9004006</v>
      </c>
    </row>
    <row r="45" spans="1:35" x14ac:dyDescent="0.2">
      <c r="A45" s="24">
        <v>20</v>
      </c>
      <c r="B45" s="24"/>
      <c r="C45" s="66">
        <f t="shared" si="1"/>
        <v>0.51666666666666639</v>
      </c>
      <c r="D45" s="24"/>
      <c r="E45" s="18" t="str">
        <f>T44</f>
        <v>JFG Naab-Regen D3</v>
      </c>
      <c r="F45" s="18" t="s">
        <v>10</v>
      </c>
      <c r="G45" s="275" t="str">
        <f>T46</f>
        <v>JFG Schwarze Laber</v>
      </c>
      <c r="H45" s="275"/>
      <c r="I45" s="275"/>
      <c r="J45" s="275"/>
      <c r="K45" s="275"/>
      <c r="L45" s="21">
        <v>2</v>
      </c>
      <c r="M45" s="18"/>
      <c r="N45" s="21">
        <v>1</v>
      </c>
      <c r="O45" s="25"/>
      <c r="P45" s="7"/>
      <c r="Q45" s="7"/>
      <c r="R45" s="58">
        <f>IF(AI45&gt;AI44,1,0)+IF(AI45&gt;AI46,1,0)+IF(AI45&gt;AI47,1,0)</f>
        <v>0</v>
      </c>
      <c r="S45" s="58" t="s">
        <v>29</v>
      </c>
      <c r="T45" s="67" t="str">
        <f>E22</f>
        <v>SCTeublitz</v>
      </c>
      <c r="U45" s="71">
        <f>SUM(IF(Z45&gt;AB45,3,IF(Z45=AB45,1,IF(Z45&lt;AB45,0))))+SUM(IF(AC45&gt;AE45,3,IF(AC45=AE45,1,IF(AC45&lt;AE45,0))))+SUM(IF(AF45&gt;AH45,3,IF(AF45=AH45,1,IF(AF45&lt;AH45,0))))</f>
        <v>0</v>
      </c>
      <c r="V45" s="71">
        <f>SUM(Z45+AC45+AF45)</f>
        <v>2</v>
      </c>
      <c r="W45" s="71" t="s">
        <v>28</v>
      </c>
      <c r="X45" s="71">
        <f>SUM(AB45+AE45+AH45)</f>
        <v>8</v>
      </c>
      <c r="Y45" s="78">
        <f>SUM(V45-X45)</f>
        <v>-6</v>
      </c>
      <c r="Z45" s="79">
        <f>N32</f>
        <v>1</v>
      </c>
      <c r="AA45" s="60" t="s">
        <v>28</v>
      </c>
      <c r="AB45" s="80">
        <f>L32</f>
        <v>2</v>
      </c>
      <c r="AC45" s="79">
        <f>L41</f>
        <v>1</v>
      </c>
      <c r="AD45" s="60" t="s">
        <v>28</v>
      </c>
      <c r="AE45" s="80">
        <f>N41</f>
        <v>2</v>
      </c>
      <c r="AF45" s="77">
        <f>L43</f>
        <v>0</v>
      </c>
      <c r="AG45" s="60" t="s">
        <v>28</v>
      </c>
      <c r="AH45" s="78">
        <f>N43</f>
        <v>4</v>
      </c>
      <c r="AI45" s="60">
        <f>(U45*1000000)+(Y45*1000)+V45</f>
        <v>-5998</v>
      </c>
    </row>
    <row r="46" spans="1:35" x14ac:dyDescent="0.2">
      <c r="A46" s="52"/>
      <c r="B46" s="52"/>
      <c r="C46" s="66">
        <f t="shared" si="1"/>
        <v>0.52395833333333308</v>
      </c>
      <c r="D46" s="52"/>
      <c r="E46" s="52"/>
      <c r="F46" s="52"/>
      <c r="G46" s="264"/>
      <c r="H46" s="264"/>
      <c r="I46" s="264"/>
      <c r="J46" s="264"/>
      <c r="K46" s="264"/>
      <c r="L46" s="21"/>
      <c r="M46" s="81"/>
      <c r="N46" s="82"/>
      <c r="O46" s="25"/>
      <c r="R46" s="58">
        <f>IF(AI46&gt;AI44,1,0)+IF(AI46&gt;AI45,1,0)+IF(AI46&gt;AI47,1,0)</f>
        <v>2</v>
      </c>
      <c r="S46" s="58" t="s">
        <v>30</v>
      </c>
      <c r="T46" s="67" t="str">
        <f>E26</f>
        <v>JFG Schwarze Laber</v>
      </c>
      <c r="U46" s="71">
        <f>SUM(IF(Z46&gt;AB46,3,IF(Z46=AB46,1,IF(Z46&lt;AB46,0))))+SUM(IF(AC46&gt;AE46,3,IF(AC46=AE46,1,IF(AC46&lt;AE46,0))))+SUM(IF(AF46&gt;AH46,3,IF(AF46=AH46,1,IF(AF46&lt;AH46,0))))</f>
        <v>6</v>
      </c>
      <c r="V46" s="71">
        <f>SUM(Z46+AC46+AF46)</f>
        <v>5</v>
      </c>
      <c r="W46" s="71" t="s">
        <v>28</v>
      </c>
      <c r="X46" s="72">
        <f>SUM(AB46+AE46+AH46)</f>
        <v>3</v>
      </c>
      <c r="Y46" s="73">
        <f>SUM(V46-X46)</f>
        <v>2</v>
      </c>
      <c r="Z46" s="79">
        <f>L33</f>
        <v>2</v>
      </c>
      <c r="AA46" s="60" t="s">
        <v>28</v>
      </c>
      <c r="AB46" s="80">
        <f>N33</f>
        <v>0</v>
      </c>
      <c r="AC46" s="79">
        <f>N41</f>
        <v>2</v>
      </c>
      <c r="AD46" s="60" t="s">
        <v>28</v>
      </c>
      <c r="AE46" s="80">
        <f>L41</f>
        <v>1</v>
      </c>
      <c r="AF46" s="77">
        <f>N45</f>
        <v>1</v>
      </c>
      <c r="AG46" s="60" t="s">
        <v>28</v>
      </c>
      <c r="AH46" s="78">
        <f>L45</f>
        <v>2</v>
      </c>
      <c r="AI46" s="71">
        <f>(U46*1000000)+(Y46*1000)+V46</f>
        <v>6002005</v>
      </c>
    </row>
    <row r="47" spans="1:35" x14ac:dyDescent="0.2">
      <c r="G47" s="5"/>
      <c r="H47" s="5"/>
      <c r="I47" s="5"/>
      <c r="O47" s="25"/>
      <c r="R47" s="58">
        <f>IF(AI47&gt;AI45,1,0)+IF(AI47&gt;AI46,1,0)+IF(AI47&gt;AI44,1,0)</f>
        <v>1</v>
      </c>
      <c r="S47" s="58" t="s">
        <v>31</v>
      </c>
      <c r="T47" s="67" t="str">
        <f>E27</f>
        <v>TSV Kareth-Lappersdorf</v>
      </c>
      <c r="U47" s="83">
        <f>SUM(IF(Z47&gt;AB47,3,IF(Z47=AB47,1,IF(Z47&lt;AB47,0))))+SUM(IF(AC47&gt;AE47,3,IF(AC47=AE47,1,IF(AC47&lt;AE47,0))))+SUM(IF(AF47&gt;AH47,3,IF(AF47=AH47,1,IF(AF47&lt;AH47,0))))</f>
        <v>3</v>
      </c>
      <c r="V47" s="83">
        <f>SUM(Z47+AC47+AF47)</f>
        <v>4</v>
      </c>
      <c r="W47" s="71" t="s">
        <v>28</v>
      </c>
      <c r="X47" s="71">
        <f>SUM(AB47+AE47+AH47)</f>
        <v>4</v>
      </c>
      <c r="Y47" s="78">
        <f>SUM(V47-X47)</f>
        <v>0</v>
      </c>
      <c r="Z47" s="84">
        <f>N33</f>
        <v>0</v>
      </c>
      <c r="AA47" s="85" t="s">
        <v>28</v>
      </c>
      <c r="AB47" s="86">
        <f>L33</f>
        <v>2</v>
      </c>
      <c r="AC47" s="84">
        <f>N39</f>
        <v>0</v>
      </c>
      <c r="AD47" s="85" t="s">
        <v>28</v>
      </c>
      <c r="AE47" s="86">
        <f>L39</f>
        <v>2</v>
      </c>
      <c r="AF47" s="77">
        <f>N43</f>
        <v>4</v>
      </c>
      <c r="AG47" s="60" t="s">
        <v>28</v>
      </c>
      <c r="AH47" s="78">
        <f>L43</f>
        <v>0</v>
      </c>
      <c r="AI47" s="60">
        <f>(U47*1000000)+(Y47*1000)+V47</f>
        <v>3000004</v>
      </c>
    </row>
    <row r="48" spans="1:35" ht="39" x14ac:dyDescent="0.2">
      <c r="C48" s="45"/>
      <c r="D48" s="46"/>
      <c r="E48" s="46"/>
      <c r="F48" s="46" t="s">
        <v>22</v>
      </c>
      <c r="G48" s="87" t="s">
        <v>23</v>
      </c>
      <c r="H48" s="88"/>
      <c r="I48" s="89"/>
      <c r="R48" s="90"/>
      <c r="S48" s="90"/>
      <c r="T48" s="91" t="s">
        <v>40</v>
      </c>
      <c r="U48" s="92" t="s">
        <v>22</v>
      </c>
      <c r="V48" s="281" t="s">
        <v>23</v>
      </c>
      <c r="W48" s="281"/>
      <c r="X48" s="281"/>
      <c r="Y48" s="93"/>
      <c r="Z48" s="287" t="s">
        <v>39</v>
      </c>
      <c r="AA48" s="287"/>
      <c r="AB48" s="287"/>
      <c r="AC48" s="288" t="s">
        <v>25</v>
      </c>
      <c r="AD48" s="288"/>
      <c r="AE48" s="288"/>
      <c r="AF48" s="281" t="s">
        <v>26</v>
      </c>
      <c r="AG48" s="281"/>
      <c r="AH48" s="281"/>
      <c r="AI48" s="94"/>
    </row>
    <row r="49" spans="3:35" ht="14.25" customHeight="1" x14ac:dyDescent="0.2">
      <c r="C49" s="95" t="str">
        <f>T43</f>
        <v>Goldgruppe</v>
      </c>
      <c r="D49" s="52">
        <v>1</v>
      </c>
      <c r="E49" s="52" t="str">
        <f>VLOOKUP(3,R44:T47,3,0)</f>
        <v>JFG Naab-Regen D3</v>
      </c>
      <c r="F49" s="52">
        <f>VLOOKUP(3,R44:U47,4,0)</f>
        <v>9</v>
      </c>
      <c r="G49" s="52">
        <f>VLOOKUP(3,$R$44:$V$47,5,0)</f>
        <v>6</v>
      </c>
      <c r="H49" s="52" t="s">
        <v>28</v>
      </c>
      <c r="I49" s="52">
        <f>VLOOKUP(3,R$44:X$47,7,0)</f>
        <v>2</v>
      </c>
      <c r="R49" s="90">
        <f>IF(AI49&gt;AI50,1,0)+IF(AI49&gt;AI51,1,0)+IF(AI49&gt;AI52,1,0)</f>
        <v>3</v>
      </c>
      <c r="S49" s="90" t="s">
        <v>27</v>
      </c>
      <c r="T49" s="91" t="str">
        <f>E23</f>
        <v>TSV Neutraubling</v>
      </c>
      <c r="U49" s="96">
        <f>SUM(IF(Z49&gt;AB49,3,IF(Z49=AB49,1,IF(Z49&lt;AB49,0))))+SUM(IF(AC49&gt;AE49,3,IF(AC49=AE49,1,IF(AC49&lt;AE49,0))))+SUM(IF(AF49&gt;AH49,3,IF(AF49=AH49,1,IF(AF49&lt;AH49,0))))</f>
        <v>7</v>
      </c>
      <c r="V49" s="96">
        <f>SUM(Z49+AC49+AF49)</f>
        <v>3</v>
      </c>
      <c r="W49" s="97"/>
      <c r="X49" s="97">
        <f>SUM(AB49+AE49+AH49)</f>
        <v>1</v>
      </c>
      <c r="Y49" s="98">
        <f>SUM(V49-X49)</f>
        <v>2</v>
      </c>
      <c r="Z49" s="99">
        <f>L34</f>
        <v>2</v>
      </c>
      <c r="AA49" s="100" t="s">
        <v>28</v>
      </c>
      <c r="AB49" s="101">
        <f>N34</f>
        <v>1</v>
      </c>
      <c r="AC49" s="102">
        <f>L38</f>
        <v>0</v>
      </c>
      <c r="AD49" s="103" t="s">
        <v>28</v>
      </c>
      <c r="AE49" s="98">
        <f>N38</f>
        <v>0</v>
      </c>
      <c r="AF49" s="90">
        <f>L44</f>
        <v>1</v>
      </c>
      <c r="AG49" s="103" t="s">
        <v>28</v>
      </c>
      <c r="AH49" s="98">
        <f>N44</f>
        <v>0</v>
      </c>
      <c r="AI49" s="104">
        <f>U49*1000000+Y49*1000+V49</f>
        <v>7002003</v>
      </c>
    </row>
    <row r="50" spans="3:35" x14ac:dyDescent="0.2">
      <c r="C50" s="105"/>
      <c r="D50" s="52">
        <v>2</v>
      </c>
      <c r="E50" s="52" t="str">
        <f>VLOOKUP(2,R44:T47,3,0)</f>
        <v>JFG Schwarze Laber</v>
      </c>
      <c r="F50" s="52">
        <f>VLOOKUP(2,R44:U47,4,0)</f>
        <v>6</v>
      </c>
      <c r="G50" s="52">
        <f>VLOOKUP(2,R44:V47,5,0)</f>
        <v>5</v>
      </c>
      <c r="H50" s="52" t="s">
        <v>28</v>
      </c>
      <c r="I50" s="52">
        <f>VLOOKUP(2,R$44:X$47,7,0)</f>
        <v>3</v>
      </c>
      <c r="R50" s="90">
        <f>IF(AI50&gt;AI49,1,0)+IF(AI50&gt;AI51,1,0)+IF(AI50&gt;AI52,1,0)</f>
        <v>2</v>
      </c>
      <c r="S50" s="90" t="s">
        <v>29</v>
      </c>
      <c r="T50" s="91" t="str">
        <f>E24</f>
        <v>TB/ASV Regenstauf</v>
      </c>
      <c r="U50" s="97">
        <f>SUM(IF(Z50&gt;AB50,3,IF(Z50=AB50,1,IF(Z50&lt;AB50,0))))+SUM(IF(AC50&gt;AE50,3,IF(AC50=AE50,1,IF(AC50&lt;AE50,0))))+SUM(IF(AF50&gt;AH50,3,IF(AF50=AH50,1,IF(AF50&lt;AH50,0))))</f>
        <v>6</v>
      </c>
      <c r="V50" s="97">
        <f>SUM(Z50+AC50+AF50)</f>
        <v>8</v>
      </c>
      <c r="W50" s="97" t="s">
        <v>28</v>
      </c>
      <c r="X50" s="106">
        <f>SUM(AB50+AE50+AH50)</f>
        <v>2</v>
      </c>
      <c r="Y50" s="107">
        <f>SUM(V50-X50)</f>
        <v>6</v>
      </c>
      <c r="Z50" s="108">
        <f>N34</f>
        <v>1</v>
      </c>
      <c r="AA50" s="103" t="s">
        <v>28</v>
      </c>
      <c r="AB50" s="109">
        <f>L34</f>
        <v>2</v>
      </c>
      <c r="AC50" s="102">
        <f>L40</f>
        <v>3</v>
      </c>
      <c r="AD50" s="103" t="s">
        <v>28</v>
      </c>
      <c r="AE50" s="98">
        <f>N40</f>
        <v>0</v>
      </c>
      <c r="AF50" s="90">
        <f>L42</f>
        <v>4</v>
      </c>
      <c r="AG50" s="103" t="s">
        <v>28</v>
      </c>
      <c r="AH50" s="98">
        <f>N42</f>
        <v>0</v>
      </c>
      <c r="AI50" s="110">
        <f>U50*1000000+Y50*1000+V50</f>
        <v>6006008</v>
      </c>
    </row>
    <row r="51" spans="3:35" x14ac:dyDescent="0.2">
      <c r="C51" s="105"/>
      <c r="D51" s="52">
        <v>3</v>
      </c>
      <c r="E51" s="52" t="str">
        <f>VLOOKUP(1,R44:T47,3,0)</f>
        <v>TSV Kareth-Lappersdorf</v>
      </c>
      <c r="F51" s="52">
        <f>VLOOKUP(1,R44:U47,4,0)</f>
        <v>3</v>
      </c>
      <c r="G51" s="52">
        <f>VLOOKUP(1,R44:V47,5,0)</f>
        <v>4</v>
      </c>
      <c r="H51" s="52" t="s">
        <v>28</v>
      </c>
      <c r="I51" s="52">
        <f>VLOOKUP(1,R$44:X$47,7,0)</f>
        <v>4</v>
      </c>
      <c r="R51" s="90">
        <f>IF(AI51&gt;AI49,1,0)+IF(AI51&gt;AI50,1,0)+IF(AI51&gt;AI52,1,0)</f>
        <v>1</v>
      </c>
      <c r="S51" s="90" t="s">
        <v>30</v>
      </c>
      <c r="T51" s="91" t="str">
        <f>E28</f>
        <v>JFG Naab-Regen D4</v>
      </c>
      <c r="U51" s="97">
        <f>SUM(IF(Z51&gt;AB51,3,IF(Z51=AB51,1,IF(Z51&lt;AB51,0))))+SUM(IF(AC51&gt;AE51,3,IF(AC51=AE51,1,IF(AC51&lt;AE51,0))))+SUM(IF(AF51&gt;AH51,3,IF(AF51=AH51,1,IF(AF51&lt;AH51,0))))</f>
        <v>3</v>
      </c>
      <c r="V51" s="97">
        <f>SUM(Z51+AC51+AF51)</f>
        <v>3</v>
      </c>
      <c r="W51" s="97" t="s">
        <v>28</v>
      </c>
      <c r="X51" s="97">
        <f>SUM(AB51+AE51+AH51)</f>
        <v>4</v>
      </c>
      <c r="Y51" s="98">
        <f>SUM(V51-X51)</f>
        <v>-1</v>
      </c>
      <c r="Z51" s="108">
        <f>L35</f>
        <v>3</v>
      </c>
      <c r="AA51" s="103" t="s">
        <v>28</v>
      </c>
      <c r="AB51" s="109">
        <f>N35</f>
        <v>0</v>
      </c>
      <c r="AC51" s="102">
        <f>N40</f>
        <v>0</v>
      </c>
      <c r="AD51" s="103" t="s">
        <v>28</v>
      </c>
      <c r="AE51" s="98">
        <f>L40</f>
        <v>3</v>
      </c>
      <c r="AF51" s="90">
        <f>N44</f>
        <v>0</v>
      </c>
      <c r="AG51" s="103" t="s">
        <v>28</v>
      </c>
      <c r="AH51" s="98">
        <f>L44</f>
        <v>1</v>
      </c>
      <c r="AI51" s="104">
        <f>U51*1000000+Y51*1000+V51</f>
        <v>2999003</v>
      </c>
    </row>
    <row r="52" spans="3:35" x14ac:dyDescent="0.2">
      <c r="C52" s="105"/>
      <c r="D52" s="52">
        <v>4</v>
      </c>
      <c r="E52" s="52" t="str">
        <f>VLOOKUP(0,R44:T47,3,0)</f>
        <v>SCTeublitz</v>
      </c>
      <c r="F52" s="52">
        <f>VLOOKUP(0,$R$44:$U$47,4,0)</f>
        <v>0</v>
      </c>
      <c r="G52" s="52">
        <f>VLOOKUP(0,R44:V47,5,0)</f>
        <v>2</v>
      </c>
      <c r="H52" s="52" t="s">
        <v>28</v>
      </c>
      <c r="I52" s="52">
        <f>VLOOKUP(0,R$44:X$47,7,0)</f>
        <v>8</v>
      </c>
      <c r="R52" s="90">
        <f>IF(AI52&gt;AI50,1,0)+IF(AI52&gt;AI51,1,0)+IF(AI52&gt;AI49,1,0)</f>
        <v>0</v>
      </c>
      <c r="S52" s="90" t="s">
        <v>31</v>
      </c>
      <c r="T52" s="91" t="str">
        <f>E29</f>
        <v>SpVgg Illkofen</v>
      </c>
      <c r="U52" s="97">
        <f>SUM(IF(Z52&gt;AB52,3,IF(Z52=AB52,1,IF(Z52&lt;AB52,0))))+SUM(IF(AC52&gt;AE52,3,IF(AC52=AE52,1,IF(AC52&lt;AE52,0))))+SUM(IF(AF52&gt;AH52,3,IF(AF52=AH52,1,IF(AF52&lt;AH52,0))))</f>
        <v>1</v>
      </c>
      <c r="V52" s="97">
        <f>SUM(Z52+AC52+AF52)</f>
        <v>0</v>
      </c>
      <c r="W52" s="97" t="s">
        <v>28</v>
      </c>
      <c r="X52" s="97">
        <f>SUM(AB52+AE52+AH52)</f>
        <v>7</v>
      </c>
      <c r="Y52" s="107">
        <f>SUM(V52-X52)</f>
        <v>-7</v>
      </c>
      <c r="Z52" s="111">
        <f>N35</f>
        <v>0</v>
      </c>
      <c r="AA52" s="112" t="s">
        <v>28</v>
      </c>
      <c r="AB52" s="113">
        <f>L35</f>
        <v>3</v>
      </c>
      <c r="AC52" s="102">
        <f>N38</f>
        <v>0</v>
      </c>
      <c r="AD52" s="103" t="s">
        <v>28</v>
      </c>
      <c r="AE52" s="98">
        <f>L38</f>
        <v>0</v>
      </c>
      <c r="AF52" s="90">
        <f>N42</f>
        <v>0</v>
      </c>
      <c r="AG52" s="103" t="s">
        <v>28</v>
      </c>
      <c r="AH52" s="98">
        <f>L42</f>
        <v>4</v>
      </c>
      <c r="AI52" s="110">
        <f>U52*1000000+Y52*1000+V52</f>
        <v>993000</v>
      </c>
    </row>
    <row r="53" spans="3:35" ht="39" x14ac:dyDescent="0.2">
      <c r="C53" s="45"/>
      <c r="D53" s="46"/>
      <c r="E53" s="46"/>
      <c r="F53" s="46" t="s">
        <v>22</v>
      </c>
      <c r="G53" s="87" t="s">
        <v>23</v>
      </c>
      <c r="H53" s="88"/>
      <c r="I53" s="89"/>
    </row>
    <row r="54" spans="3:35" x14ac:dyDescent="0.2">
      <c r="C54" s="95" t="str">
        <f>T48</f>
        <v>Silbergruppe</v>
      </c>
      <c r="D54" s="52">
        <v>5</v>
      </c>
      <c r="E54" s="52" t="str">
        <f>VLOOKUP(3,R49:T52,3,0)</f>
        <v>TSV Neutraubling</v>
      </c>
      <c r="F54" s="52">
        <f>VLOOKUP(3,R49:U52,4,0)</f>
        <v>7</v>
      </c>
      <c r="G54" s="52">
        <f>VLOOKUP(3,$R$49:$V$52,5,0)</f>
        <v>3</v>
      </c>
      <c r="H54" s="52" t="s">
        <v>28</v>
      </c>
      <c r="I54" s="52">
        <f>VLOOKUP(3,R$49:X$52,7,0)</f>
        <v>1</v>
      </c>
      <c r="T54" s="5" t="s">
        <v>41</v>
      </c>
    </row>
    <row r="55" spans="3:35" x14ac:dyDescent="0.2">
      <c r="C55" s="105"/>
      <c r="D55" s="52">
        <v>6</v>
      </c>
      <c r="E55" s="52" t="str">
        <f>VLOOKUP(2,R49:T52,3,0)</f>
        <v>TB/ASV Regenstauf</v>
      </c>
      <c r="F55" s="52">
        <f>VLOOKUP(2,R49:U52,4,0)</f>
        <v>6</v>
      </c>
      <c r="G55" s="52">
        <f>VLOOKUP(2,R49:V52,5,0)</f>
        <v>8</v>
      </c>
      <c r="H55" s="52" t="s">
        <v>28</v>
      </c>
      <c r="I55" s="52">
        <f>VLOOKUP(2,R$49:X$52,7,0)</f>
        <v>2</v>
      </c>
      <c r="P55" s="13"/>
      <c r="Q55" s="13"/>
    </row>
    <row r="56" spans="3:35" x14ac:dyDescent="0.2">
      <c r="C56" s="105"/>
      <c r="D56" s="52">
        <v>7</v>
      </c>
      <c r="E56" s="52" t="str">
        <f>VLOOKUP(1,R49:T52,3,0)</f>
        <v>JFG Naab-Regen D4</v>
      </c>
      <c r="F56" s="52">
        <f>VLOOKUP(1,R49:U52,4,0)</f>
        <v>3</v>
      </c>
      <c r="G56" s="52">
        <f>VLOOKUP(1,R49:V52,5,0)</f>
        <v>3</v>
      </c>
      <c r="H56" s="52" t="s">
        <v>28</v>
      </c>
      <c r="I56" s="52">
        <f>VLOOKUP(1,R$49:X$52,7,0)</f>
        <v>4</v>
      </c>
      <c r="O56" s="25"/>
      <c r="P56" s="13"/>
      <c r="Q56" s="13"/>
      <c r="T56" s="263" t="s">
        <v>42</v>
      </c>
      <c r="U56" s="263">
        <v>4</v>
      </c>
      <c r="V56" s="285" t="s">
        <v>13</v>
      </c>
      <c r="W56" s="285"/>
      <c r="X56" s="285"/>
      <c r="Y56" s="285"/>
      <c r="Z56" s="285"/>
      <c r="AA56" s="285"/>
      <c r="AB56" s="285"/>
      <c r="AC56" s="285"/>
    </row>
    <row r="57" spans="3:35" x14ac:dyDescent="0.2">
      <c r="C57" s="105"/>
      <c r="D57" s="52">
        <v>8</v>
      </c>
      <c r="E57" s="52" t="str">
        <f>VLOOKUP(0,R49:T52,3,0)</f>
        <v>SpVgg Illkofen</v>
      </c>
      <c r="F57" s="52">
        <f>VLOOKUP(0,$R$49:$U$52,4,0)</f>
        <v>1</v>
      </c>
      <c r="G57" s="52">
        <f>VLOOKUP(0,R49:V52,5,0)</f>
        <v>0</v>
      </c>
      <c r="H57" s="52" t="s">
        <v>28</v>
      </c>
      <c r="I57" s="52">
        <f>VLOOKUP(0,R$49:X$52,7,0)</f>
        <v>7</v>
      </c>
      <c r="O57" s="25"/>
      <c r="P57" s="13"/>
      <c r="Q57" s="13"/>
      <c r="T57" s="5" t="s">
        <v>43</v>
      </c>
      <c r="U57" s="5">
        <v>4</v>
      </c>
      <c r="V57" s="286" t="s">
        <v>44</v>
      </c>
      <c r="W57" s="286"/>
      <c r="X57" s="286"/>
      <c r="Y57" s="286"/>
      <c r="Z57" s="286"/>
      <c r="AA57" s="286"/>
      <c r="AB57" s="286"/>
      <c r="AC57" s="286"/>
    </row>
    <row r="58" spans="3:35" x14ac:dyDescent="0.2">
      <c r="G58" s="5"/>
      <c r="H58" s="5"/>
      <c r="I58" s="5"/>
      <c r="P58" s="13"/>
      <c r="Q58" s="13"/>
      <c r="T58" s="5" t="s">
        <v>45</v>
      </c>
      <c r="U58" s="5">
        <v>4</v>
      </c>
      <c r="V58" s="286" t="s">
        <v>46</v>
      </c>
      <c r="W58" s="286"/>
      <c r="X58" s="286"/>
      <c r="Y58" s="286"/>
      <c r="Z58" s="286"/>
      <c r="AA58" s="286"/>
      <c r="AB58" s="286"/>
      <c r="AC58" s="286"/>
    </row>
    <row r="59" spans="3:35" x14ac:dyDescent="0.2">
      <c r="O59" s="25"/>
      <c r="P59" s="13"/>
      <c r="Q59" s="13"/>
      <c r="T59" s="5" t="s">
        <v>47</v>
      </c>
      <c r="U59" s="5">
        <v>4</v>
      </c>
      <c r="V59" s="286" t="s">
        <v>15</v>
      </c>
      <c r="W59" s="286"/>
      <c r="X59" s="286"/>
      <c r="Y59" s="286"/>
      <c r="Z59" s="286"/>
      <c r="AA59" s="286"/>
      <c r="AB59" s="286"/>
      <c r="AC59" s="286"/>
    </row>
    <row r="60" spans="3:35" x14ac:dyDescent="0.2">
      <c r="C60" s="114" t="str">
        <f>"In "&amp;A45&amp;" Spielen fielen "&amp;U35&amp;" Tore"</f>
        <v>In 20 Spielen fielen 59 Tore</v>
      </c>
      <c r="D60" s="7"/>
      <c r="E60" s="7"/>
      <c r="F60" s="7"/>
      <c r="O60" s="25"/>
      <c r="P60" s="13"/>
      <c r="Q60" s="13"/>
    </row>
    <row r="61" spans="3:35" x14ac:dyDescent="0.2">
      <c r="C61" s="114" t="str">
        <f>"Das sind pro Spiel "&amp;U37&amp;" Tore"</f>
        <v>Das sind pro Spiel 2,95 Tore</v>
      </c>
      <c r="D61" s="7"/>
      <c r="E61" s="7"/>
      <c r="F61" s="7"/>
      <c r="J61" s="13"/>
      <c r="K61" s="13"/>
      <c r="L61" s="13"/>
      <c r="M61" s="13"/>
      <c r="N61" s="13"/>
      <c r="O61" s="25"/>
      <c r="P61" s="13"/>
      <c r="Q61" s="13"/>
    </row>
    <row r="62" spans="3:35" x14ac:dyDescent="0.2">
      <c r="G62" s="25"/>
      <c r="H62" s="25"/>
      <c r="I62" s="25"/>
      <c r="J62" s="13"/>
      <c r="K62" s="13"/>
      <c r="L62" s="13"/>
      <c r="M62" s="13"/>
      <c r="N62" s="13"/>
      <c r="O62" s="25"/>
      <c r="P62" s="13"/>
      <c r="Q62" s="13"/>
    </row>
    <row r="63" spans="3:35" x14ac:dyDescent="0.2">
      <c r="C63" s="114"/>
      <c r="F63" s="115"/>
      <c r="G63" s="25"/>
      <c r="H63" s="25"/>
      <c r="I63" s="25"/>
      <c r="J63" s="13"/>
      <c r="K63" s="13"/>
      <c r="L63" s="13"/>
      <c r="M63" s="13"/>
      <c r="N63" s="13"/>
      <c r="O63" s="25"/>
      <c r="P63" s="13"/>
      <c r="Q63" s="13"/>
    </row>
    <row r="64" spans="3:35" x14ac:dyDescent="0.2">
      <c r="E64" s="28"/>
      <c r="F64" s="115"/>
      <c r="G64" s="25"/>
      <c r="H64" s="25"/>
      <c r="I64" s="25"/>
      <c r="J64" s="13"/>
      <c r="K64" s="13"/>
      <c r="L64" s="13"/>
      <c r="M64" s="13"/>
      <c r="N64" s="13"/>
      <c r="O64" s="25"/>
    </row>
    <row r="66" spans="6:6" x14ac:dyDescent="0.2">
      <c r="F66" s="116"/>
    </row>
  </sheetData>
  <sheetProtection selectLockedCells="1" selectUnlockedCells="1"/>
  <mergeCells count="55">
    <mergeCell ref="V56:AC56"/>
    <mergeCell ref="V57:AC57"/>
    <mergeCell ref="V58:AC58"/>
    <mergeCell ref="V59:AC59"/>
    <mergeCell ref="G45:K45"/>
    <mergeCell ref="G46:K46"/>
    <mergeCell ref="V48:X48"/>
    <mergeCell ref="Z48:AB48"/>
    <mergeCell ref="AC48:AE48"/>
    <mergeCell ref="AF48:AH48"/>
    <mergeCell ref="G43:K43"/>
    <mergeCell ref="V43:X43"/>
    <mergeCell ref="Z43:AB43"/>
    <mergeCell ref="AC43:AE43"/>
    <mergeCell ref="AF43:AH43"/>
    <mergeCell ref="G44:K44"/>
    <mergeCell ref="G42:K42"/>
    <mergeCell ref="C26:C29"/>
    <mergeCell ref="A30:N30"/>
    <mergeCell ref="G32:K32"/>
    <mergeCell ref="G33:K33"/>
    <mergeCell ref="G34:K34"/>
    <mergeCell ref="G35:K35"/>
    <mergeCell ref="A37:N37"/>
    <mergeCell ref="G38:K38"/>
    <mergeCell ref="G39:K39"/>
    <mergeCell ref="G40:K40"/>
    <mergeCell ref="G41:K41"/>
    <mergeCell ref="Z20:AB20"/>
    <mergeCell ref="AC20:AE20"/>
    <mergeCell ref="AF20:AH20"/>
    <mergeCell ref="C21:C24"/>
    <mergeCell ref="G25:I25"/>
    <mergeCell ref="V25:X25"/>
    <mergeCell ref="Z25:AB25"/>
    <mergeCell ref="AC25:AE25"/>
    <mergeCell ref="AF25:AH25"/>
    <mergeCell ref="V20:X20"/>
    <mergeCell ref="G14:K14"/>
    <mergeCell ref="G15:K15"/>
    <mergeCell ref="G16:K16"/>
    <mergeCell ref="G17:K17"/>
    <mergeCell ref="G18:K18"/>
    <mergeCell ref="G13:K13"/>
    <mergeCell ref="A1:M1"/>
    <mergeCell ref="A2:N2"/>
    <mergeCell ref="A3:N3"/>
    <mergeCell ref="A5:N5"/>
    <mergeCell ref="A6:N6"/>
    <mergeCell ref="G7:K7"/>
    <mergeCell ref="G8:K8"/>
    <mergeCell ref="G9:K9"/>
    <mergeCell ref="G10:K10"/>
    <mergeCell ref="G11:K11"/>
    <mergeCell ref="G12:K12"/>
  </mergeCells>
  <conditionalFormatting sqref="A1:O3 A5:N5 A21:A31 A37:N37 A46:B65536 B21:T29 C47:C65536 D46:F65536 G47:K65536 L48:N65536 O5:O6 O8:R65536 P1:IV6 S8 S17:X19 S30:T65536 U21:Y24 U26:U47 U49:Y65536 V7:AD8 V26:X31 V33:V47 W33:X42 W44:X47 Y9:Y19 Y26:Y32 Y34:Y47 Z17:AA19 Z26:Z43 Z53:AI65536 AA26:AH42 AB9:AF11 AB19:AF19 AC43 AF7:AF11 AF43 AG7:AG19 AG21:AI24 AH8:AI19 AI25:AI65536 AJ8:IV65536">
    <cfRule type="expression" dxfId="35" priority="1" stopIfTrue="1">
      <formula>ISERROR(A1)</formula>
    </cfRule>
  </conditionalFormatting>
  <conditionalFormatting sqref="E38:N38 E40:F40 E42:F42 E44:F44 L40:N40 L42:N42 L44:N44 L46">
    <cfRule type="expression" dxfId="34" priority="2" stopIfTrue="1">
      <formula>(ISBLANK($L38)=0)</formula>
    </cfRule>
  </conditionalFormatting>
  <conditionalFormatting sqref="E39:G39 E41:F41 E43:F43 E45:F45 L39:N39 L41:N41 L43:N43 L45:N45">
    <cfRule type="expression" dxfId="33" priority="3" stopIfTrue="1">
      <formula>(ISBLANK($L39)=0)</formula>
    </cfRule>
  </conditionalFormatting>
  <conditionalFormatting sqref="E9:F9 M9:N9">
    <cfRule type="expression" dxfId="32" priority="4" stopIfTrue="1">
      <formula>(ISBLANK($L9)=0)</formula>
    </cfRule>
  </conditionalFormatting>
  <conditionalFormatting sqref="E11:G11 E13:F13 E15:F15 E17:F17 M11:N11 M13:N13 M15:N15 M17:N17">
    <cfRule type="expression" dxfId="31" priority="5" stopIfTrue="1">
      <formula>(ISBLANK($L11)=0)</formula>
    </cfRule>
  </conditionalFormatting>
  <conditionalFormatting sqref="S20:T20 AI20">
    <cfRule type="expression" dxfId="30" priority="6" stopIfTrue="1">
      <formula>ISERROR(S20)</formula>
    </cfRule>
  </conditionalFormatting>
  <conditionalFormatting sqref="U20:V20 Y20:Z20 AC20 AF20">
    <cfRule type="expression" dxfId="29" priority="7" stopIfTrue="1">
      <formula>ISERROR(U20)</formula>
    </cfRule>
  </conditionalFormatting>
  <conditionalFormatting sqref="U25:V25 Y25:Z25 AC25 AF25">
    <cfRule type="expression" dxfId="28" priority="8" stopIfTrue="1">
      <formula>ISERROR(U25)</formula>
    </cfRule>
  </conditionalFormatting>
  <conditionalFormatting sqref="U48:V48 Y48">
    <cfRule type="expression" dxfId="27" priority="9" stopIfTrue="1">
      <formula>ISERROR(U48)</formula>
    </cfRule>
  </conditionalFormatting>
  <conditionalFormatting sqref="AC12:AF18">
    <cfRule type="expression" dxfId="26" priority="10" stopIfTrue="1">
      <formula>ISERROR(AC12)</formula>
    </cfRule>
  </conditionalFormatting>
  <conditionalFormatting sqref="E7:G7 L7:L18 M7:N7">
    <cfRule type="expression" dxfId="25" priority="11" stopIfTrue="1">
      <formula>(ISBLANK($L7)=0)</formula>
    </cfRule>
  </conditionalFormatting>
  <conditionalFormatting sqref="G9">
    <cfRule type="expression" dxfId="24" priority="12" stopIfTrue="1">
      <formula>(ISBLANK($L9)=0)</formula>
    </cfRule>
  </conditionalFormatting>
  <conditionalFormatting sqref="G13">
    <cfRule type="expression" dxfId="23" priority="13" stopIfTrue="1">
      <formula>(ISBLANK($L13)=0)</formula>
    </cfRule>
  </conditionalFormatting>
  <conditionalFormatting sqref="G15">
    <cfRule type="expression" dxfId="22" priority="14" stopIfTrue="1">
      <formula>(ISBLANK($L15)=0)</formula>
    </cfRule>
  </conditionalFormatting>
  <conditionalFormatting sqref="G17">
    <cfRule type="expression" dxfId="21" priority="15" stopIfTrue="1">
      <formula>(ISBLANK($L17)=0)</formula>
    </cfRule>
  </conditionalFormatting>
  <conditionalFormatting sqref="G40:G46">
    <cfRule type="expression" dxfId="20" priority="16" stopIfTrue="1">
      <formula>(ISBLANK($L40)=0)</formula>
    </cfRule>
  </conditionalFormatting>
  <pageMargins left="0.7" right="0.7" top="0.78749999999999998" bottom="0.78749999999999998" header="0.51180555555555551" footer="0.51180555555555551"/>
  <pageSetup paperSize="9" scale="49" firstPageNumber="0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49"/>
  <sheetViews>
    <sheetView topLeftCell="A2" zoomScale="85" zoomScaleNormal="85" workbookViewId="0">
      <selection activeCell="T12" sqref="T12"/>
    </sheetView>
  </sheetViews>
  <sheetFormatPr baseColWidth="10" defaultColWidth="11.5703125" defaultRowHeight="15" x14ac:dyDescent="0.25"/>
  <cols>
    <col min="1" max="1" width="3.85546875" style="117" customWidth="1"/>
    <col min="2" max="2" width="4.140625" style="117" customWidth="1"/>
    <col min="3" max="3" width="9.140625" style="118" customWidth="1"/>
    <col min="4" max="4" width="2.7109375" style="117" customWidth="1"/>
    <col min="5" max="5" width="25.140625" style="117" customWidth="1"/>
    <col min="6" max="6" width="5" style="117" customWidth="1"/>
    <col min="7" max="14" width="3.140625" style="117" customWidth="1"/>
    <col min="15" max="16" width="2.85546875" style="119" customWidth="1"/>
    <col min="17" max="17" width="2.5703125" style="119" customWidth="1"/>
    <col min="18" max="23" width="2.85546875" style="117" customWidth="1"/>
    <col min="24" max="24" width="2.7109375" style="117" customWidth="1"/>
    <col min="25" max="25" width="3.42578125" style="117" customWidth="1"/>
    <col min="26" max="26" width="23.85546875" style="117" customWidth="1"/>
    <col min="27" max="27" width="4" style="117" customWidth="1"/>
    <col min="28" max="28" width="1.85546875" style="117" customWidth="1"/>
    <col min="29" max="30" width="4" style="117" customWidth="1"/>
    <col min="31" max="31" width="1.85546875" style="117" customWidth="1"/>
    <col min="32" max="33" width="4" style="117" customWidth="1"/>
    <col min="34" max="34" width="1.85546875" style="117" customWidth="1"/>
    <col min="35" max="35" width="4" style="117" customWidth="1"/>
    <col min="36" max="36" width="7.42578125" style="120" customWidth="1"/>
    <col min="37" max="37" width="4" style="117" customWidth="1"/>
    <col min="38" max="38" width="1.85546875" style="117" customWidth="1"/>
    <col min="39" max="41" width="4" style="117" customWidth="1"/>
    <col min="42" max="42" width="5.85546875" style="117" customWidth="1"/>
    <col min="43" max="43" width="9.42578125" style="117" customWidth="1"/>
    <col min="44" max="16384" width="11.5703125" style="117"/>
  </cols>
  <sheetData>
    <row r="1" spans="1:43" s="122" customFormat="1" ht="12.75" x14ac:dyDescent="0.2">
      <c r="A1" s="290" t="s">
        <v>48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AJ1" s="123"/>
    </row>
    <row r="2" spans="1:43" s="122" customFormat="1" ht="12.75" x14ac:dyDescent="0.2">
      <c r="A2" s="291">
        <v>43119</v>
      </c>
      <c r="B2" s="291"/>
      <c r="C2" s="291"/>
      <c r="D2" s="291"/>
      <c r="E2" s="291"/>
      <c r="F2" s="124"/>
      <c r="G2" s="124" t="s">
        <v>49</v>
      </c>
      <c r="H2" s="292">
        <v>0.57291666666666663</v>
      </c>
      <c r="I2" s="292"/>
      <c r="J2" s="121" t="s">
        <v>50</v>
      </c>
      <c r="K2" s="293">
        <f>C38</f>
        <v>0.72013888888888933</v>
      </c>
      <c r="L2" s="293"/>
      <c r="M2" s="294" t="s">
        <v>51</v>
      </c>
      <c r="N2" s="294"/>
      <c r="O2" s="121"/>
      <c r="P2" s="121"/>
      <c r="Q2" s="121"/>
      <c r="R2" s="121"/>
      <c r="S2" s="121"/>
      <c r="T2" s="121"/>
      <c r="U2" s="121"/>
      <c r="V2" s="121"/>
      <c r="W2" s="121"/>
      <c r="AJ2" s="123"/>
    </row>
    <row r="3" spans="1:43" x14ac:dyDescent="0.25">
      <c r="A3" s="289" t="s">
        <v>52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126"/>
      <c r="S3" s="126"/>
      <c r="T3" s="126"/>
      <c r="U3" s="122"/>
      <c r="V3" s="122"/>
    </row>
    <row r="4" spans="1:43" x14ac:dyDescent="0.25">
      <c r="A4" s="295" t="s">
        <v>7</v>
      </c>
      <c r="B4" s="295"/>
      <c r="C4" s="295"/>
      <c r="D4" s="295"/>
      <c r="E4" s="127">
        <v>6.9444444444444441E-3</v>
      </c>
      <c r="F4" s="128"/>
      <c r="G4" s="296" t="s">
        <v>8</v>
      </c>
      <c r="H4" s="296"/>
      <c r="I4" s="296"/>
      <c r="J4" s="296"/>
      <c r="K4" s="296"/>
      <c r="L4" s="297">
        <v>1.0416666666666667E-3</v>
      </c>
      <c r="M4" s="297"/>
      <c r="N4" s="297"/>
      <c r="O4" s="297"/>
      <c r="P4" s="129"/>
      <c r="Q4" s="129"/>
      <c r="R4" s="126"/>
      <c r="S4" s="298">
        <f>SUM(E4+L4)</f>
        <v>7.9861111111111105E-3</v>
      </c>
      <c r="T4" s="298"/>
      <c r="U4" s="298"/>
      <c r="V4" s="122"/>
    </row>
    <row r="5" spans="1:43" ht="14.25" x14ac:dyDescent="0.2">
      <c r="A5" s="130">
        <v>1</v>
      </c>
      <c r="B5" s="130" t="s">
        <v>9</v>
      </c>
      <c r="C5" s="131">
        <f>H2</f>
        <v>0.57291666666666663</v>
      </c>
      <c r="D5" s="130"/>
      <c r="E5" s="132" t="str">
        <f>Z7</f>
        <v>JFG Naab-Regen C2</v>
      </c>
      <c r="F5" s="132" t="s">
        <v>10</v>
      </c>
      <c r="G5" s="299" t="str">
        <f>Z10</f>
        <v>TSV Kareth Lappersdorf 3</v>
      </c>
      <c r="H5" s="299"/>
      <c r="I5" s="299"/>
      <c r="J5" s="299"/>
      <c r="K5" s="299"/>
      <c r="L5" s="299"/>
      <c r="M5" s="299"/>
      <c r="N5" s="299"/>
      <c r="O5" s="133">
        <v>0</v>
      </c>
      <c r="P5" s="134" t="s">
        <v>28</v>
      </c>
      <c r="Q5" s="133">
        <v>6</v>
      </c>
      <c r="S5" s="298">
        <v>3.472222222222222E-3</v>
      </c>
      <c r="T5" s="298"/>
      <c r="U5" s="298"/>
      <c r="V5" s="122"/>
      <c r="W5" s="122"/>
      <c r="X5" s="121"/>
      <c r="Y5" s="122"/>
      <c r="Z5" s="135"/>
      <c r="AA5" s="136"/>
      <c r="AB5" s="137"/>
      <c r="AC5" s="137"/>
      <c r="AD5" s="126"/>
      <c r="AE5" s="126"/>
      <c r="AF5" s="126"/>
      <c r="AG5" s="126"/>
      <c r="AH5" s="126"/>
      <c r="AI5" s="126"/>
      <c r="AJ5" s="138"/>
      <c r="AK5" s="126"/>
      <c r="AL5" s="126"/>
      <c r="AM5" s="126"/>
      <c r="AN5" s="126"/>
      <c r="AO5" s="126"/>
      <c r="AP5" s="122"/>
    </row>
    <row r="6" spans="1:43" ht="14.25" x14ac:dyDescent="0.2">
      <c r="A6" s="139">
        <v>2</v>
      </c>
      <c r="B6" s="139" t="s">
        <v>9</v>
      </c>
      <c r="C6" s="140">
        <f t="shared" ref="C6:C17" si="0">C5+$S$4</f>
        <v>0.58090277777777777</v>
      </c>
      <c r="D6" s="139"/>
      <c r="E6" s="132" t="str">
        <f>Z12</f>
        <v>RT Regensburg</v>
      </c>
      <c r="F6" s="132" t="s">
        <v>10</v>
      </c>
      <c r="G6" s="301" t="str">
        <f>Z15</f>
        <v>1.FC Schwarzenfeld</v>
      </c>
      <c r="H6" s="301"/>
      <c r="I6" s="301"/>
      <c r="J6" s="301"/>
      <c r="K6" s="301"/>
      <c r="L6" s="301"/>
      <c r="M6" s="301"/>
      <c r="N6" s="301"/>
      <c r="O6" s="133">
        <v>1</v>
      </c>
      <c r="P6" s="134" t="s">
        <v>28</v>
      </c>
      <c r="Q6" s="133">
        <v>0</v>
      </c>
      <c r="S6" s="141"/>
      <c r="T6" s="141"/>
      <c r="U6" s="142"/>
      <c r="V6" s="122"/>
      <c r="W6" s="122"/>
      <c r="X6" s="121"/>
      <c r="Y6" s="143" t="s">
        <v>21</v>
      </c>
      <c r="Z6" s="144"/>
      <c r="AA6" s="145" t="s">
        <v>24</v>
      </c>
      <c r="AB6" s="146"/>
      <c r="AC6" s="147"/>
      <c r="AD6" s="148" t="s">
        <v>25</v>
      </c>
      <c r="AE6" s="149"/>
      <c r="AF6" s="150"/>
      <c r="AG6" s="148" t="s">
        <v>26</v>
      </c>
      <c r="AH6" s="149"/>
      <c r="AI6" s="150"/>
      <c r="AJ6" s="151" t="s">
        <v>22</v>
      </c>
      <c r="AK6" s="148" t="s">
        <v>23</v>
      </c>
      <c r="AL6" s="149"/>
      <c r="AM6" s="150"/>
      <c r="AN6" s="152"/>
      <c r="AO6" s="152" t="s">
        <v>0</v>
      </c>
      <c r="AP6" s="153"/>
    </row>
    <row r="7" spans="1:43" ht="14.25" x14ac:dyDescent="0.2">
      <c r="A7" s="139">
        <v>3</v>
      </c>
      <c r="B7" s="139" t="s">
        <v>12</v>
      </c>
      <c r="C7" s="140">
        <f t="shared" si="0"/>
        <v>0.58888888888888891</v>
      </c>
      <c r="D7" s="139"/>
      <c r="E7" s="154" t="str">
        <f>Z9</f>
        <v>JFG Kickers Labertal 2</v>
      </c>
      <c r="F7" s="154" t="s">
        <v>10</v>
      </c>
      <c r="G7" s="301" t="str">
        <f>Z8</f>
        <v>FSV Prüfening 2</v>
      </c>
      <c r="H7" s="301"/>
      <c r="I7" s="301"/>
      <c r="J7" s="301"/>
      <c r="K7" s="301"/>
      <c r="L7" s="301"/>
      <c r="M7" s="301"/>
      <c r="N7" s="301"/>
      <c r="O7" s="133">
        <v>0</v>
      </c>
      <c r="P7" s="134" t="s">
        <v>28</v>
      </c>
      <c r="Q7" s="133">
        <v>1</v>
      </c>
      <c r="S7" s="126"/>
      <c r="T7" s="126"/>
      <c r="U7" s="122"/>
      <c r="V7" s="122"/>
      <c r="W7" s="155" t="str">
        <f>IF(AO7=0,"4",IF(AO7=1,"3",IF(AO7=2,"2",IF(AO7=3,"1",0))))</f>
        <v>3</v>
      </c>
      <c r="X7" s="156">
        <f>IF(AQ7&gt;AQ8,1,0)+IF(AQ7&gt;AQ9,1,0)+IF(AQ7&gt;AQ10,1,0)</f>
        <v>1</v>
      </c>
      <c r="Y7" s="153" t="s">
        <v>27</v>
      </c>
      <c r="Z7" s="157" t="s">
        <v>53</v>
      </c>
      <c r="AA7" s="158">
        <f>O5</f>
        <v>0</v>
      </c>
      <c r="AB7" s="158" t="str">
        <f>P5</f>
        <v>:</v>
      </c>
      <c r="AC7" s="158">
        <f>Q5</f>
        <v>6</v>
      </c>
      <c r="AD7" s="158">
        <f>Q9</f>
        <v>0</v>
      </c>
      <c r="AE7" s="158" t="s">
        <v>28</v>
      </c>
      <c r="AF7" s="158">
        <f>O9</f>
        <v>2</v>
      </c>
      <c r="AG7" s="158">
        <f>Q13</f>
        <v>2</v>
      </c>
      <c r="AH7" s="158" t="s">
        <v>28</v>
      </c>
      <c r="AI7" s="158">
        <f>O13</f>
        <v>0</v>
      </c>
      <c r="AJ7" s="159">
        <f>SUM(IF(AA7&gt;AC7,3,IF(AA7=AC7,1,IF(AA7&lt;AC7,0))))+SUM(IF(AD7&gt;AF7,3,IF(AD7=AF7,1,IF(AD7&lt;AF7,0))))+SUM(IF(AG7&gt;AI7,3,IF(AG7=AI7,1,IF(AG7&lt;AI7,0))))</f>
        <v>3</v>
      </c>
      <c r="AK7" s="158">
        <f>SUM(AA7+AD7+AG7)</f>
        <v>2</v>
      </c>
      <c r="AL7" s="158" t="s">
        <v>28</v>
      </c>
      <c r="AM7" s="158">
        <f>SUM(AC7+AF7+AI7)</f>
        <v>8</v>
      </c>
      <c r="AN7" s="158">
        <f>SUM(AK7-AM7)</f>
        <v>-6</v>
      </c>
      <c r="AO7" s="160">
        <f>X7</f>
        <v>1</v>
      </c>
      <c r="AP7" s="161">
        <f>AJ7+AN7%</f>
        <v>2.94</v>
      </c>
      <c r="AQ7" s="162">
        <f>(AJ7*1000000)+(AN7*1000)+AK7</f>
        <v>2994002</v>
      </c>
    </row>
    <row r="8" spans="1:43" ht="14.25" x14ac:dyDescent="0.2">
      <c r="A8" s="139">
        <v>4</v>
      </c>
      <c r="B8" s="139" t="s">
        <v>12</v>
      </c>
      <c r="C8" s="140">
        <f t="shared" si="0"/>
        <v>0.59687500000000004</v>
      </c>
      <c r="D8" s="139"/>
      <c r="E8" s="132" t="str">
        <f>Z14</f>
        <v>(SG) SV Eggmühl</v>
      </c>
      <c r="F8" s="132" t="s">
        <v>10</v>
      </c>
      <c r="G8" s="301" t="str">
        <f>Z13</f>
        <v>FC Tegernheim</v>
      </c>
      <c r="H8" s="301"/>
      <c r="I8" s="301"/>
      <c r="J8" s="301"/>
      <c r="K8" s="301"/>
      <c r="L8" s="301"/>
      <c r="M8" s="301"/>
      <c r="N8" s="301"/>
      <c r="O8" s="133">
        <v>1</v>
      </c>
      <c r="P8" s="134" t="s">
        <v>28</v>
      </c>
      <c r="Q8" s="133">
        <v>0</v>
      </c>
      <c r="S8" s="126"/>
      <c r="T8" s="126"/>
      <c r="U8" s="122"/>
      <c r="V8" s="122"/>
      <c r="W8" s="155" t="str">
        <f>IF(AO8=0,"4",IF(AO8=1,"3",IF(AO8=2,"2",IF(AO8=3,"1",0))))</f>
        <v>2</v>
      </c>
      <c r="X8" s="156">
        <f>IF(AQ8&gt;AQ7,1,0)+IF(AQ8&gt;AQ9,1,0)+IF(AQ8&gt;AQ10,1,0)</f>
        <v>2</v>
      </c>
      <c r="Y8" s="153" t="s">
        <v>29</v>
      </c>
      <c r="Z8" s="157" t="s">
        <v>54</v>
      </c>
      <c r="AA8" s="158">
        <f>Q7</f>
        <v>1</v>
      </c>
      <c r="AB8" s="158" t="s">
        <v>28</v>
      </c>
      <c r="AC8" s="158">
        <f>O7</f>
        <v>0</v>
      </c>
      <c r="AD8" s="158">
        <f>O9</f>
        <v>2</v>
      </c>
      <c r="AE8" s="158" t="s">
        <v>28</v>
      </c>
      <c r="AF8" s="158">
        <f>Q9</f>
        <v>0</v>
      </c>
      <c r="AG8" s="158">
        <f>O15</f>
        <v>0</v>
      </c>
      <c r="AH8" s="158" t="s">
        <v>28</v>
      </c>
      <c r="AI8" s="158">
        <f>Q15</f>
        <v>0</v>
      </c>
      <c r="AJ8" s="159">
        <f>SUM(IF(AA8&gt;AC8,3,IF(AA8=AC8,1,IF(AA8&lt;AC8,0))))+SUM(IF(AD8&gt;AF8,3,IF(AD8=AF8,1,IF(AD8&lt;AF8,0))))+SUM(IF(AG8&gt;AI8,3,IF(AG8=AI8,1,IF(AG8&lt;AI8,0))))</f>
        <v>7</v>
      </c>
      <c r="AK8" s="158">
        <f>SUM(AA8+AD8+AG8)</f>
        <v>3</v>
      </c>
      <c r="AL8" s="158" t="s">
        <v>28</v>
      </c>
      <c r="AM8" s="158">
        <f>SUM(AC8+AF8+AI8)</f>
        <v>0</v>
      </c>
      <c r="AN8" s="158">
        <f>SUM(AK8-AM8)</f>
        <v>3</v>
      </c>
      <c r="AO8" s="160">
        <f>X8</f>
        <v>2</v>
      </c>
      <c r="AP8" s="161">
        <f>AJ8+AN8%</f>
        <v>7.03</v>
      </c>
      <c r="AQ8" s="162">
        <f>(AJ8*1000000)+(AN8*1000)+AK8</f>
        <v>7003003</v>
      </c>
    </row>
    <row r="9" spans="1:43" ht="14.25" x14ac:dyDescent="0.2">
      <c r="A9" s="139">
        <v>5</v>
      </c>
      <c r="B9" s="139" t="s">
        <v>9</v>
      </c>
      <c r="C9" s="140">
        <f t="shared" si="0"/>
        <v>0.60486111111111118</v>
      </c>
      <c r="D9" s="139"/>
      <c r="E9" s="163" t="str">
        <f>Z8</f>
        <v>FSV Prüfening 2</v>
      </c>
      <c r="F9" s="163" t="s">
        <v>10</v>
      </c>
      <c r="G9" s="301" t="str">
        <f>Z7</f>
        <v>JFG Naab-Regen C2</v>
      </c>
      <c r="H9" s="301"/>
      <c r="I9" s="301"/>
      <c r="J9" s="301"/>
      <c r="K9" s="301"/>
      <c r="L9" s="301"/>
      <c r="M9" s="301"/>
      <c r="N9" s="301"/>
      <c r="O9" s="133">
        <v>2</v>
      </c>
      <c r="P9" s="134" t="s">
        <v>28</v>
      </c>
      <c r="Q9" s="133">
        <v>0</v>
      </c>
      <c r="S9" s="126"/>
      <c r="T9" s="126"/>
      <c r="U9" s="122"/>
      <c r="V9" s="122"/>
      <c r="W9" s="155" t="str">
        <f>IF(AO9=0,"4",IF(AO9=1,"3",IF(AO9=2,"2",IF(AO9=3,"1",0))))</f>
        <v>4</v>
      </c>
      <c r="X9" s="156">
        <f>IF(AQ9&gt;AQ7,1,0)+IF(AQ9&gt;AQ8,1,0)+IF(AQ9&gt;AQ10,1,0)</f>
        <v>0</v>
      </c>
      <c r="Y9" s="153" t="s">
        <v>30</v>
      </c>
      <c r="Z9" s="157" t="s">
        <v>55</v>
      </c>
      <c r="AA9" s="158">
        <f>O7</f>
        <v>0</v>
      </c>
      <c r="AB9" s="158" t="s">
        <v>28</v>
      </c>
      <c r="AC9" s="158">
        <f>Q7</f>
        <v>1</v>
      </c>
      <c r="AD9" s="158">
        <f>Q11</f>
        <v>0</v>
      </c>
      <c r="AE9" s="158" t="s">
        <v>28</v>
      </c>
      <c r="AF9" s="158">
        <f>O11</f>
        <v>3</v>
      </c>
      <c r="AG9" s="158">
        <f>O13</f>
        <v>0</v>
      </c>
      <c r="AH9" s="158" t="s">
        <v>28</v>
      </c>
      <c r="AI9" s="158">
        <f>Q13</f>
        <v>2</v>
      </c>
      <c r="AJ9" s="159">
        <f>SUM(IF(AA9&gt;AC9,3,IF(AA9=AC9,1,IF(AA9&lt;AC9,0))))+SUM(IF(AD9&gt;AF9,3,IF(AD9=AF9,1,IF(AD9&lt;AF9,0))))+SUM(IF(AG9&gt;AI9,3,IF(AG9=AI9,1,IF(AG9&lt;AI9,0))))</f>
        <v>0</v>
      </c>
      <c r="AK9" s="158">
        <f>SUM(AA9+AD9+AG9)</f>
        <v>0</v>
      </c>
      <c r="AL9" s="158" t="s">
        <v>28</v>
      </c>
      <c r="AM9" s="158">
        <f>SUM(AC9+AF9+AI9)</f>
        <v>6</v>
      </c>
      <c r="AN9" s="158">
        <f>SUM(AK9-AM9)</f>
        <v>-6</v>
      </c>
      <c r="AO9" s="160">
        <f>X9</f>
        <v>0</v>
      </c>
      <c r="AP9" s="161">
        <f>AJ9+AN9%</f>
        <v>-0.06</v>
      </c>
      <c r="AQ9" s="162">
        <f>(AJ9*1000000)+(AN9*1000)+AK9</f>
        <v>-6000</v>
      </c>
    </row>
    <row r="10" spans="1:43" ht="14.25" x14ac:dyDescent="0.2">
      <c r="A10" s="139">
        <v>7</v>
      </c>
      <c r="B10" s="139" t="s">
        <v>12</v>
      </c>
      <c r="C10" s="140">
        <f t="shared" si="0"/>
        <v>0.61284722222222232</v>
      </c>
      <c r="D10" s="139"/>
      <c r="E10" s="132" t="str">
        <f>Z13</f>
        <v>FC Tegernheim</v>
      </c>
      <c r="F10" s="132" t="s">
        <v>10</v>
      </c>
      <c r="G10" s="301" t="str">
        <f>Z12</f>
        <v>RT Regensburg</v>
      </c>
      <c r="H10" s="301"/>
      <c r="I10" s="301"/>
      <c r="J10" s="301"/>
      <c r="K10" s="301"/>
      <c r="L10" s="301"/>
      <c r="M10" s="301"/>
      <c r="N10" s="301"/>
      <c r="O10" s="133">
        <v>0</v>
      </c>
      <c r="P10" s="134" t="s">
        <v>28</v>
      </c>
      <c r="Q10" s="133">
        <v>2</v>
      </c>
      <c r="S10" s="126"/>
      <c r="T10" s="126"/>
      <c r="U10" s="122"/>
      <c r="V10" s="122"/>
      <c r="W10" s="155" t="str">
        <f>IF(AO10=0,"4",IF(AO10=1,"3",IF(AO10=2,"2",IF(AO10=3,"1",0))))</f>
        <v>1</v>
      </c>
      <c r="X10" s="156">
        <f>IF(AQ10&gt;AQ8,1,0)+IF(AQ10&gt;AQ9,1,0)+IF(AQ10&gt;AQ7,1,0)</f>
        <v>3</v>
      </c>
      <c r="Y10" s="153" t="s">
        <v>31</v>
      </c>
      <c r="Z10" s="157" t="s">
        <v>56</v>
      </c>
      <c r="AA10" s="158">
        <f>Q5</f>
        <v>6</v>
      </c>
      <c r="AB10" s="158" t="s">
        <v>28</v>
      </c>
      <c r="AC10" s="158">
        <f>O5</f>
        <v>0</v>
      </c>
      <c r="AD10" s="158">
        <f>O11</f>
        <v>3</v>
      </c>
      <c r="AE10" s="158" t="s">
        <v>28</v>
      </c>
      <c r="AF10" s="158">
        <f>Q11</f>
        <v>0</v>
      </c>
      <c r="AG10" s="158">
        <f>Q15</f>
        <v>0</v>
      </c>
      <c r="AH10" s="158" t="s">
        <v>28</v>
      </c>
      <c r="AI10" s="158">
        <f>O15</f>
        <v>0</v>
      </c>
      <c r="AJ10" s="159">
        <f>SUM(IF(AA10&gt;AC10,3,IF(AA10=AC10,1,IF(AA10&lt;AC10,0))))+SUM(IF(AD10&gt;AF10,3,IF(AD10=AF10,1,IF(AD10&lt;AF10,0))))+SUM(IF(AG10&gt;AI10,3,IF(AG10=AI10,1,IF(AG10&lt;AI10,0))))</f>
        <v>7</v>
      </c>
      <c r="AK10" s="158">
        <f>SUM(AA10+AD10+AG10)</f>
        <v>9</v>
      </c>
      <c r="AL10" s="158" t="s">
        <v>28</v>
      </c>
      <c r="AM10" s="158">
        <f>SUM(AC10+AF10+AI10)</f>
        <v>0</v>
      </c>
      <c r="AN10" s="158">
        <f>SUM(AK10-AM10)</f>
        <v>9</v>
      </c>
      <c r="AO10" s="160">
        <f>X10</f>
        <v>3</v>
      </c>
      <c r="AP10" s="161">
        <f>AJ10+AN10%</f>
        <v>7.09</v>
      </c>
      <c r="AQ10" s="162">
        <f>(AJ10*1000000)+(AN10*1000)+AK10</f>
        <v>7009009</v>
      </c>
    </row>
    <row r="11" spans="1:43" ht="14.25" x14ac:dyDescent="0.2">
      <c r="A11" s="139">
        <v>6</v>
      </c>
      <c r="B11" s="139" t="s">
        <v>9</v>
      </c>
      <c r="C11" s="140">
        <f t="shared" si="0"/>
        <v>0.62083333333333346</v>
      </c>
      <c r="D11" s="139"/>
      <c r="E11" s="163" t="str">
        <f>Z10</f>
        <v>TSV Kareth Lappersdorf 3</v>
      </c>
      <c r="F11" s="163" t="s">
        <v>10</v>
      </c>
      <c r="G11" s="301" t="str">
        <f>Z9</f>
        <v>JFG Kickers Labertal 2</v>
      </c>
      <c r="H11" s="301"/>
      <c r="I11" s="301"/>
      <c r="J11" s="301"/>
      <c r="K11" s="301"/>
      <c r="L11" s="301"/>
      <c r="M11" s="301"/>
      <c r="N11" s="301"/>
      <c r="O11" s="133">
        <v>3</v>
      </c>
      <c r="P11" s="134"/>
      <c r="Q11" s="134">
        <v>0</v>
      </c>
      <c r="S11" s="126"/>
      <c r="T11" s="126"/>
      <c r="U11" s="122"/>
      <c r="V11" s="122"/>
      <c r="W11" s="164"/>
      <c r="X11" s="156"/>
      <c r="Y11" s="165" t="s">
        <v>32</v>
      </c>
      <c r="Z11" s="166"/>
      <c r="AA11" s="167" t="s">
        <v>24</v>
      </c>
      <c r="AB11" s="168"/>
      <c r="AC11" s="169"/>
      <c r="AD11" s="167" t="s">
        <v>25</v>
      </c>
      <c r="AE11" s="168"/>
      <c r="AF11" s="169"/>
      <c r="AG11" s="167" t="s">
        <v>26</v>
      </c>
      <c r="AH11" s="168"/>
      <c r="AI11" s="169"/>
      <c r="AJ11" s="170" t="s">
        <v>22</v>
      </c>
      <c r="AK11" s="167" t="s">
        <v>23</v>
      </c>
      <c r="AL11" s="168"/>
      <c r="AM11" s="169"/>
      <c r="AN11" s="171"/>
      <c r="AO11" s="171" t="s">
        <v>0</v>
      </c>
      <c r="AP11" s="172"/>
      <c r="AQ11" s="162"/>
    </row>
    <row r="12" spans="1:43" ht="14.25" x14ac:dyDescent="0.2">
      <c r="A12" s="139">
        <v>8</v>
      </c>
      <c r="B12" s="139" t="s">
        <v>12</v>
      </c>
      <c r="C12" s="140">
        <f t="shared" si="0"/>
        <v>0.6288194444444446</v>
      </c>
      <c r="D12" s="139"/>
      <c r="E12" s="132" t="str">
        <f>Z15</f>
        <v>1.FC Schwarzenfeld</v>
      </c>
      <c r="F12" s="132" t="s">
        <v>10</v>
      </c>
      <c r="G12" s="301" t="str">
        <f>Z14</f>
        <v>(SG) SV Eggmühl</v>
      </c>
      <c r="H12" s="301"/>
      <c r="I12" s="301"/>
      <c r="J12" s="301"/>
      <c r="K12" s="301"/>
      <c r="L12" s="301"/>
      <c r="M12" s="301"/>
      <c r="N12" s="301"/>
      <c r="O12" s="133">
        <v>2</v>
      </c>
      <c r="P12" s="134" t="s">
        <v>28</v>
      </c>
      <c r="Q12" s="133">
        <v>2</v>
      </c>
      <c r="S12" s="126"/>
      <c r="T12" s="126"/>
      <c r="U12" s="122"/>
      <c r="V12" s="122"/>
      <c r="W12" s="164" t="str">
        <f>IF(AO12=0,"4",IF(AO12=1,"3",IF(AO12=2,"2",IF(AO12=3,"1",0))))</f>
        <v>1</v>
      </c>
      <c r="X12" s="156">
        <f>IF(AQ12&gt;AQ13,1,0)+IF(AQ12&gt;AQ14,1,0)+IF(AQ12&gt;AQ15,1,0)</f>
        <v>3</v>
      </c>
      <c r="Y12" s="173" t="s">
        <v>27</v>
      </c>
      <c r="Z12" s="174" t="s">
        <v>57</v>
      </c>
      <c r="AA12" s="175">
        <f>O6</f>
        <v>1</v>
      </c>
      <c r="AB12" s="175" t="s">
        <v>28</v>
      </c>
      <c r="AC12" s="175">
        <f>Q6</f>
        <v>0</v>
      </c>
      <c r="AD12" s="175">
        <f>Q10</f>
        <v>2</v>
      </c>
      <c r="AE12" s="175" t="s">
        <v>28</v>
      </c>
      <c r="AF12" s="175">
        <f>O10</f>
        <v>0</v>
      </c>
      <c r="AG12" s="175">
        <f>Q14</f>
        <v>1</v>
      </c>
      <c r="AH12" s="175" t="s">
        <v>28</v>
      </c>
      <c r="AI12" s="175">
        <f>O14</f>
        <v>0</v>
      </c>
      <c r="AJ12" s="176">
        <f>SUM(IF(AA12&gt;AC12,3,IF(AA12=AC12,1,IF(AA12&lt;AC12,0))))+SUM(IF(AD12&gt;AF12,3,IF(AD12=AF12,1,IF(AD12&lt;AF12,0))))+SUM(IF(AG12&gt;AI12,3,IF(AG12=AI12,1,IF(AG12&lt;AI12,0))))</f>
        <v>9</v>
      </c>
      <c r="AK12" s="175">
        <f>SUM(AA12+AD12+AG12)</f>
        <v>4</v>
      </c>
      <c r="AL12" s="175"/>
      <c r="AM12" s="175">
        <f>SUM(AC12+AF12+AI12)</f>
        <v>0</v>
      </c>
      <c r="AN12" s="175">
        <f>SUM(AK12-AM12)</f>
        <v>4</v>
      </c>
      <c r="AO12" s="177">
        <f>X12</f>
        <v>3</v>
      </c>
      <c r="AP12" s="178">
        <f>AJ12+AN12%</f>
        <v>9.0399999999999991</v>
      </c>
      <c r="AQ12" s="162">
        <f>AJ12*1000000+AN12*1000+AK12</f>
        <v>9004004</v>
      </c>
    </row>
    <row r="13" spans="1:43" ht="14.25" x14ac:dyDescent="0.2">
      <c r="A13" s="139">
        <v>9</v>
      </c>
      <c r="B13" s="139" t="s">
        <v>9</v>
      </c>
      <c r="C13" s="140">
        <f t="shared" si="0"/>
        <v>0.63680555555555574</v>
      </c>
      <c r="D13" s="139"/>
      <c r="E13" s="163" t="str">
        <f>Z9</f>
        <v>JFG Kickers Labertal 2</v>
      </c>
      <c r="F13" s="163" t="s">
        <v>10</v>
      </c>
      <c r="G13" s="301" t="str">
        <f>Z7</f>
        <v>JFG Naab-Regen C2</v>
      </c>
      <c r="H13" s="301"/>
      <c r="I13" s="301"/>
      <c r="J13" s="301"/>
      <c r="K13" s="301"/>
      <c r="L13" s="301"/>
      <c r="M13" s="301"/>
      <c r="N13" s="301"/>
      <c r="O13" s="133">
        <v>0</v>
      </c>
      <c r="P13" s="134" t="s">
        <v>28</v>
      </c>
      <c r="Q13" s="133">
        <v>2</v>
      </c>
      <c r="S13" s="126"/>
      <c r="T13" s="126"/>
      <c r="U13" s="122"/>
      <c r="V13" s="122"/>
      <c r="W13" s="164" t="str">
        <f>IF(AO13=0,"4",IF(AO13=1,"3",IF(AO13=2,"2",IF(AO13=3,"1",0))))</f>
        <v>4</v>
      </c>
      <c r="X13" s="156">
        <f>IF(AQ13&gt;AQ12,1,0)+IF(AQ13&gt;AQ14,1,0)+IF(AQ13&gt;AQ15,1,0)</f>
        <v>0</v>
      </c>
      <c r="Y13" s="173" t="s">
        <v>29</v>
      </c>
      <c r="Z13" s="174" t="s">
        <v>58</v>
      </c>
      <c r="AA13" s="175">
        <f>Q8</f>
        <v>0</v>
      </c>
      <c r="AB13" s="175" t="s">
        <v>28</v>
      </c>
      <c r="AC13" s="175">
        <f>O8</f>
        <v>1</v>
      </c>
      <c r="AD13" s="175">
        <f>O10</f>
        <v>0</v>
      </c>
      <c r="AE13" s="175" t="s">
        <v>28</v>
      </c>
      <c r="AF13" s="175">
        <f>Q10</f>
        <v>2</v>
      </c>
      <c r="AG13" s="175">
        <f>O16</f>
        <v>0</v>
      </c>
      <c r="AH13" s="175" t="s">
        <v>28</v>
      </c>
      <c r="AI13" s="175">
        <f>Q16</f>
        <v>2</v>
      </c>
      <c r="AJ13" s="176">
        <f>SUM(IF(AA13&gt;AC13,3,IF(AA13=AC13,1,IF(AA13&lt;AC13,0))))+SUM(IF(AD13&gt;AF13,3,IF(AD13=AF13,1,IF(AD13&lt;AF13,0))))+SUM(IF(AG13&gt;AI13,3,IF(AG13=AI13,1,IF(AG13&lt;AI13,0))))</f>
        <v>0</v>
      </c>
      <c r="AK13" s="175">
        <f>SUM(AA13+AD13+AG13)</f>
        <v>0</v>
      </c>
      <c r="AL13" s="175" t="s">
        <v>28</v>
      </c>
      <c r="AM13" s="175">
        <f>SUM(AC13+AF13+AI13)</f>
        <v>5</v>
      </c>
      <c r="AN13" s="175">
        <f>SUM(AK13-AM13)</f>
        <v>-5</v>
      </c>
      <c r="AO13" s="177">
        <f>X13</f>
        <v>0</v>
      </c>
      <c r="AP13" s="178">
        <f>AJ13+AN13%</f>
        <v>-0.05</v>
      </c>
      <c r="AQ13" s="162">
        <f>AJ13*1000000+AN13*1000+AK13</f>
        <v>-5000</v>
      </c>
    </row>
    <row r="14" spans="1:43" ht="14.25" x14ac:dyDescent="0.2">
      <c r="A14" s="139">
        <v>11</v>
      </c>
      <c r="B14" s="139" t="s">
        <v>12</v>
      </c>
      <c r="C14" s="140">
        <f t="shared" si="0"/>
        <v>0.64479166666666687</v>
      </c>
      <c r="D14" s="139"/>
      <c r="E14" s="132" t="str">
        <f>Z14</f>
        <v>(SG) SV Eggmühl</v>
      </c>
      <c r="F14" s="132" t="s">
        <v>10</v>
      </c>
      <c r="G14" s="301" t="str">
        <f>Z12</f>
        <v>RT Regensburg</v>
      </c>
      <c r="H14" s="301"/>
      <c r="I14" s="301"/>
      <c r="J14" s="301"/>
      <c r="K14" s="301"/>
      <c r="L14" s="301"/>
      <c r="M14" s="301"/>
      <c r="N14" s="301"/>
      <c r="O14" s="133">
        <v>0</v>
      </c>
      <c r="P14" s="134" t="s">
        <v>28</v>
      </c>
      <c r="Q14" s="133">
        <v>1</v>
      </c>
      <c r="S14" s="126"/>
      <c r="T14" s="126"/>
      <c r="U14" s="122"/>
      <c r="V14" s="122"/>
      <c r="W14" s="164" t="str">
        <f>IF(AO14=0,"4",IF(AO14=1,"3",IF(AO14=2,"2",IF(AO14=3,"1",0))))</f>
        <v>3</v>
      </c>
      <c r="X14" s="156">
        <f>IF(AQ14&gt;AQ12,1,0)+IF(AQ14&gt;AQ13,1,0)+IF(AQ14&gt;AQ15,1,0)</f>
        <v>1</v>
      </c>
      <c r="Y14" s="173" t="s">
        <v>30</v>
      </c>
      <c r="Z14" s="174" t="s">
        <v>59</v>
      </c>
      <c r="AA14" s="175">
        <f>O8</f>
        <v>1</v>
      </c>
      <c r="AB14" s="175" t="s">
        <v>28</v>
      </c>
      <c r="AC14" s="175">
        <f>Q8</f>
        <v>0</v>
      </c>
      <c r="AD14" s="175">
        <f>Q12</f>
        <v>2</v>
      </c>
      <c r="AE14" s="175" t="s">
        <v>28</v>
      </c>
      <c r="AF14" s="175">
        <f>O12</f>
        <v>2</v>
      </c>
      <c r="AG14" s="175">
        <f>O14</f>
        <v>0</v>
      </c>
      <c r="AH14" s="175" t="s">
        <v>28</v>
      </c>
      <c r="AI14" s="175">
        <f>Q14</f>
        <v>1</v>
      </c>
      <c r="AJ14" s="176">
        <f>SUM(IF(AA14&gt;AC14,3,IF(AA14=AC14,1,IF(AA14&lt;AC14,0))))+SUM(IF(AD14&gt;AF14,3,IF(AD14=AF14,1,IF(AD14&lt;AF14,0))))+SUM(IF(AG14&gt;AI14,3,IF(AG14=AI14,1,IF(AG14&lt;AI14,0))))</f>
        <v>4</v>
      </c>
      <c r="AK14" s="175">
        <f>SUM(AA14+AD14+AG14)</f>
        <v>3</v>
      </c>
      <c r="AL14" s="175" t="s">
        <v>28</v>
      </c>
      <c r="AM14" s="175">
        <f>SUM(AC14+AF14+AI14)</f>
        <v>3</v>
      </c>
      <c r="AN14" s="175">
        <f>SUM(AK14-AM14)</f>
        <v>0</v>
      </c>
      <c r="AO14" s="177">
        <f>X14</f>
        <v>1</v>
      </c>
      <c r="AP14" s="178">
        <f>AJ14+AN14%</f>
        <v>4</v>
      </c>
      <c r="AQ14" s="162">
        <f>AJ14*1000000+AN14*1000+AK14</f>
        <v>4000003</v>
      </c>
    </row>
    <row r="15" spans="1:43" ht="14.25" x14ac:dyDescent="0.2">
      <c r="A15" s="139">
        <v>10</v>
      </c>
      <c r="B15" s="139" t="s">
        <v>9</v>
      </c>
      <c r="C15" s="140">
        <f t="shared" si="0"/>
        <v>0.65277777777777801</v>
      </c>
      <c r="D15" s="139"/>
      <c r="E15" s="163" t="str">
        <f>Z8</f>
        <v>FSV Prüfening 2</v>
      </c>
      <c r="F15" s="163" t="s">
        <v>10</v>
      </c>
      <c r="G15" s="301" t="str">
        <f>Z10</f>
        <v>TSV Kareth Lappersdorf 3</v>
      </c>
      <c r="H15" s="301"/>
      <c r="I15" s="301"/>
      <c r="J15" s="301"/>
      <c r="K15" s="301"/>
      <c r="L15" s="301"/>
      <c r="M15" s="301"/>
      <c r="N15" s="301"/>
      <c r="O15" s="133">
        <v>0</v>
      </c>
      <c r="P15" s="134" t="s">
        <v>28</v>
      </c>
      <c r="Q15" s="133">
        <v>0</v>
      </c>
      <c r="S15" s="126"/>
      <c r="T15" s="126"/>
      <c r="U15" s="122"/>
      <c r="V15" s="122"/>
      <c r="W15" s="164" t="str">
        <f>IF(AO15=0,"4",IF(AO15=1,"3",IF(AO15=2,"2",IF(AO15=3,"1",0))))</f>
        <v>2</v>
      </c>
      <c r="X15" s="156">
        <f>IF(AQ15&gt;AQ13,1,0)+IF(AQ15&gt;AQ14,1,0)+IF(AQ15&gt;AQ12,1,0)</f>
        <v>2</v>
      </c>
      <c r="Y15" s="173" t="s">
        <v>31</v>
      </c>
      <c r="Z15" s="174" t="s">
        <v>60</v>
      </c>
      <c r="AA15" s="175">
        <f>Q6</f>
        <v>0</v>
      </c>
      <c r="AB15" s="175" t="s">
        <v>28</v>
      </c>
      <c r="AC15" s="175">
        <f>O6</f>
        <v>1</v>
      </c>
      <c r="AD15" s="175">
        <f>O12</f>
        <v>2</v>
      </c>
      <c r="AE15" s="175" t="s">
        <v>28</v>
      </c>
      <c r="AF15" s="175">
        <f>Q12</f>
        <v>2</v>
      </c>
      <c r="AG15" s="175">
        <f>Q16</f>
        <v>2</v>
      </c>
      <c r="AH15" s="175" t="s">
        <v>28</v>
      </c>
      <c r="AI15" s="175">
        <f>O16</f>
        <v>0</v>
      </c>
      <c r="AJ15" s="176">
        <f>SUM(IF(AA15&gt;AC15,3,IF(AA15=AC15,1,IF(AA15&lt;AC15,0))))+SUM(IF(AD15&gt;AF15,3,IF(AD15=AF15,1,IF(AD15&lt;AF15,0))))+SUM(IF(AG15&gt;AI15,3,IF(AG15=AI15,1,IF(AG15&lt;AI15,0))))</f>
        <v>4</v>
      </c>
      <c r="AK15" s="175">
        <f>SUM(AA15+AD15+AG15)</f>
        <v>4</v>
      </c>
      <c r="AL15" s="175" t="s">
        <v>28</v>
      </c>
      <c r="AM15" s="175">
        <f>SUM(AC15+AF15+AI15)</f>
        <v>3</v>
      </c>
      <c r="AN15" s="175">
        <f>SUM(AK15-AM15)</f>
        <v>1</v>
      </c>
      <c r="AO15" s="177">
        <f>X15</f>
        <v>2</v>
      </c>
      <c r="AP15" s="178">
        <f>AJ15+AN15%</f>
        <v>4.01</v>
      </c>
      <c r="AQ15" s="162">
        <f>AJ15*1000000+AN15*1000+AK15</f>
        <v>4001004</v>
      </c>
    </row>
    <row r="16" spans="1:43" x14ac:dyDescent="0.25">
      <c r="A16" s="139">
        <v>12</v>
      </c>
      <c r="B16" s="139" t="s">
        <v>12</v>
      </c>
      <c r="C16" s="140">
        <f t="shared" si="0"/>
        <v>0.66076388888888915</v>
      </c>
      <c r="D16" s="139"/>
      <c r="E16" s="132" t="str">
        <f>Z13</f>
        <v>FC Tegernheim</v>
      </c>
      <c r="F16" s="132" t="s">
        <v>10</v>
      </c>
      <c r="G16" s="301" t="str">
        <f>Z15</f>
        <v>1.FC Schwarzenfeld</v>
      </c>
      <c r="H16" s="301"/>
      <c r="I16" s="301"/>
      <c r="J16" s="301"/>
      <c r="K16" s="301"/>
      <c r="L16" s="301"/>
      <c r="M16" s="301"/>
      <c r="N16" s="301"/>
      <c r="O16" s="133">
        <v>0</v>
      </c>
      <c r="P16" s="134" t="s">
        <v>28</v>
      </c>
      <c r="Q16" s="133">
        <v>2</v>
      </c>
      <c r="S16" s="126"/>
      <c r="T16" s="126"/>
      <c r="U16" s="122"/>
      <c r="V16" s="122"/>
    </row>
    <row r="17" spans="1:42" x14ac:dyDescent="0.25">
      <c r="C17" s="140">
        <f t="shared" si="0"/>
        <v>0.66875000000000029</v>
      </c>
      <c r="S17" s="126"/>
      <c r="T17" s="126"/>
      <c r="U17" s="122"/>
      <c r="V17" s="122"/>
    </row>
    <row r="18" spans="1:42" ht="14.25" x14ac:dyDescent="0.2">
      <c r="A18" s="122"/>
      <c r="B18" s="122"/>
      <c r="C18" s="179"/>
      <c r="D18" s="122"/>
      <c r="E18" s="135"/>
      <c r="F18" s="180"/>
      <c r="G18" s="137"/>
      <c r="H18" s="137"/>
      <c r="I18" s="126"/>
      <c r="J18" s="126"/>
      <c r="K18" s="126"/>
      <c r="L18" s="126"/>
      <c r="M18" s="126"/>
      <c r="N18" s="126"/>
      <c r="O18" s="137"/>
      <c r="P18" s="137"/>
      <c r="Q18" s="137"/>
      <c r="R18" s="126"/>
      <c r="S18" s="126"/>
      <c r="T18" s="126"/>
      <c r="U18" s="122"/>
      <c r="V18" s="122"/>
      <c r="Z18" t="s">
        <v>41</v>
      </c>
      <c r="AA18"/>
      <c r="AB18"/>
      <c r="AC18"/>
      <c r="AD18"/>
      <c r="AE18"/>
      <c r="AF18"/>
      <c r="AG18"/>
      <c r="AH18"/>
      <c r="AI18"/>
      <c r="AJ18" s="181"/>
      <c r="AK18"/>
      <c r="AL18"/>
      <c r="AM18"/>
    </row>
    <row r="19" spans="1:42" ht="14.25" x14ac:dyDescent="0.2">
      <c r="A19" s="122"/>
      <c r="B19" s="122"/>
      <c r="C19" s="128"/>
      <c r="D19" s="139"/>
      <c r="E19" s="182" t="str">
        <f>Y6</f>
        <v>Gruppe A</v>
      </c>
      <c r="F19" s="137"/>
      <c r="G19" s="183"/>
      <c r="H19" s="300" t="str">
        <f>Y11</f>
        <v>Gruppe B</v>
      </c>
      <c r="I19" s="300"/>
      <c r="J19" s="300"/>
      <c r="K19" s="300"/>
      <c r="L19" s="300"/>
      <c r="M19" s="300"/>
      <c r="N19" s="300"/>
      <c r="O19" s="184"/>
      <c r="P19" s="137"/>
      <c r="Q19" s="137"/>
      <c r="R19" s="137"/>
      <c r="S19" s="137"/>
      <c r="T19" s="185"/>
      <c r="U19" s="186"/>
      <c r="V19" s="122"/>
      <c r="Z19" s="127"/>
      <c r="AA19" s="121"/>
      <c r="AB19" s="128"/>
      <c r="AC19" s="121"/>
      <c r="AD19" s="121"/>
      <c r="AE19" s="121"/>
      <c r="AF19" s="121"/>
      <c r="AG19" s="121"/>
      <c r="AH19" s="121"/>
      <c r="AI19" s="121"/>
      <c r="AJ19" s="187"/>
      <c r="AK19" s="121"/>
      <c r="AL19" s="121"/>
      <c r="AM19" s="121"/>
      <c r="AN19" s="121"/>
      <c r="AO19" s="121"/>
      <c r="AP19" s="121"/>
    </row>
    <row r="20" spans="1:42" ht="14.25" x14ac:dyDescent="0.2">
      <c r="A20" s="122"/>
      <c r="B20" s="122"/>
      <c r="C20" s="128"/>
      <c r="D20" s="139">
        <v>1</v>
      </c>
      <c r="E20" s="188" t="str">
        <f>VLOOKUP(3,X7:Z10,3,0)</f>
        <v>TSV Kareth Lappersdorf 3</v>
      </c>
      <c r="F20" s="137"/>
      <c r="G20" s="183">
        <v>1</v>
      </c>
      <c r="H20" s="303" t="str">
        <f>VLOOKUP(3,X12:Z15,3,0)</f>
        <v>RT Regensburg</v>
      </c>
      <c r="I20" s="303"/>
      <c r="J20" s="303"/>
      <c r="K20" s="303"/>
      <c r="L20" s="303"/>
      <c r="M20" s="303"/>
      <c r="N20" s="303"/>
      <c r="O20" s="184"/>
      <c r="P20" s="137"/>
      <c r="Q20" s="137"/>
      <c r="R20" s="137"/>
      <c r="S20" s="137"/>
      <c r="T20" s="189"/>
      <c r="U20" s="189"/>
      <c r="V20" s="189"/>
      <c r="Z20" s="127"/>
      <c r="AA20" s="121"/>
      <c r="AB20" s="128"/>
      <c r="AC20" s="121"/>
      <c r="AD20" s="190"/>
      <c r="AE20" s="121"/>
      <c r="AF20" s="298"/>
      <c r="AG20" s="298"/>
      <c r="AH20" s="298"/>
      <c r="AI20" s="121"/>
      <c r="AJ20" s="187"/>
      <c r="AK20" s="190"/>
      <c r="AL20" s="190"/>
      <c r="AM20" s="190"/>
      <c r="AN20" s="190"/>
      <c r="AO20" s="121"/>
      <c r="AP20" s="121"/>
    </row>
    <row r="21" spans="1:42" x14ac:dyDescent="0.25">
      <c r="A21" s="122"/>
      <c r="B21" s="122"/>
      <c r="C21" s="128"/>
      <c r="D21" s="139">
        <v>2</v>
      </c>
      <c r="E21" s="188" t="str">
        <f>VLOOKUP(2,X7:Z10,3,0)</f>
        <v>FSV Prüfening 2</v>
      </c>
      <c r="F21" s="137"/>
      <c r="G21" s="183">
        <v>2</v>
      </c>
      <c r="H21" s="303" t="str">
        <f>VLOOKUP(2,X12:Z15,3,0)</f>
        <v>1.FC Schwarzenfeld</v>
      </c>
      <c r="I21" s="303"/>
      <c r="J21" s="303"/>
      <c r="K21" s="303"/>
      <c r="L21" s="303"/>
      <c r="M21" s="303"/>
      <c r="N21" s="303"/>
      <c r="O21" s="184"/>
      <c r="P21" s="137"/>
      <c r="Q21" s="137"/>
      <c r="R21" s="137"/>
      <c r="S21" s="137"/>
      <c r="T21" s="189"/>
      <c r="U21" s="189"/>
      <c r="V21" s="189"/>
      <c r="Z21" s="127"/>
      <c r="AF21" s="127"/>
    </row>
    <row r="22" spans="1:42" x14ac:dyDescent="0.25">
      <c r="A22" s="122"/>
      <c r="B22" s="122"/>
      <c r="C22" s="128"/>
      <c r="D22" s="139">
        <v>3</v>
      </c>
      <c r="E22" s="191" t="str">
        <f>VLOOKUP(1,X7:Z10,3,0)</f>
        <v>JFG Naab-Regen C2</v>
      </c>
      <c r="F22" s="137"/>
      <c r="G22" s="183">
        <v>3</v>
      </c>
      <c r="H22" s="304" t="str">
        <f>VLOOKUP(1,X12:Z15,3,0)</f>
        <v>(SG) SV Eggmühl</v>
      </c>
      <c r="I22" s="304"/>
      <c r="J22" s="304"/>
      <c r="K22" s="304"/>
      <c r="L22" s="304"/>
      <c r="M22" s="304"/>
      <c r="N22" s="304"/>
      <c r="O22" s="184"/>
      <c r="P22" s="137"/>
      <c r="Q22" s="137"/>
      <c r="R22" s="137"/>
      <c r="S22" s="137"/>
      <c r="T22" s="189"/>
      <c r="U22" s="189"/>
      <c r="V22" s="189"/>
      <c r="Z22" s="127"/>
      <c r="AF22" s="127"/>
    </row>
    <row r="23" spans="1:42" x14ac:dyDescent="0.25">
      <c r="A23" s="122"/>
      <c r="B23" s="122"/>
      <c r="C23" s="128"/>
      <c r="D23" s="192">
        <v>4</v>
      </c>
      <c r="E23" s="193" t="str">
        <f>VLOOKUP(0,X7:Z10,3,0)</f>
        <v>JFG Kickers Labertal 2</v>
      </c>
      <c r="F23" s="137"/>
      <c r="G23" s="194">
        <v>4</v>
      </c>
      <c r="H23" s="305" t="str">
        <f>VLOOKUP(0,X12:Z15,3,0)</f>
        <v>FC Tegernheim</v>
      </c>
      <c r="I23" s="305"/>
      <c r="J23" s="305"/>
      <c r="K23" s="305"/>
      <c r="L23" s="305"/>
      <c r="M23" s="305"/>
      <c r="N23" s="305"/>
      <c r="O23" s="184"/>
      <c r="P23" s="137"/>
      <c r="Q23" s="137"/>
      <c r="R23" s="137"/>
      <c r="S23" s="137"/>
      <c r="T23" s="189"/>
      <c r="U23" s="189"/>
      <c r="V23" s="189"/>
      <c r="Z23" s="127"/>
      <c r="AF23" s="127"/>
    </row>
    <row r="24" spans="1:42" x14ac:dyDescent="0.25">
      <c r="A24" s="195"/>
      <c r="B24" s="196"/>
      <c r="C24" s="197"/>
      <c r="D24" s="196"/>
      <c r="E24" s="306" t="s">
        <v>61</v>
      </c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7"/>
      <c r="S24" s="308" t="s">
        <v>62</v>
      </c>
      <c r="T24" s="308"/>
      <c r="U24" s="308"/>
      <c r="V24" s="306"/>
      <c r="W24" s="309" t="s">
        <v>63</v>
      </c>
      <c r="X24" s="309"/>
      <c r="Y24" s="309"/>
      <c r="Z24" s="127"/>
    </row>
    <row r="25" spans="1:42" x14ac:dyDescent="0.25">
      <c r="A25" s="200"/>
      <c r="B25" s="200"/>
      <c r="C25" s="201"/>
      <c r="D25" s="139"/>
      <c r="E25" s="202" t="s">
        <v>64</v>
      </c>
      <c r="F25" s="202"/>
      <c r="G25" s="302" t="s">
        <v>65</v>
      </c>
      <c r="H25" s="302"/>
      <c r="I25" s="302"/>
      <c r="J25" s="302"/>
      <c r="K25" s="302"/>
      <c r="L25" s="302"/>
      <c r="M25" s="302"/>
      <c r="N25" s="302"/>
      <c r="O25" s="203"/>
      <c r="P25" s="203"/>
      <c r="Q25" s="203"/>
      <c r="R25" s="307"/>
      <c r="S25" s="307"/>
      <c r="T25" s="307"/>
      <c r="U25" s="307"/>
      <c r="V25" s="306"/>
      <c r="W25" s="204"/>
      <c r="X25" s="204"/>
      <c r="Y25" s="204"/>
      <c r="Z25" s="127"/>
    </row>
    <row r="26" spans="1:42" ht="14.25" x14ac:dyDescent="0.2">
      <c r="A26" s="139">
        <v>13</v>
      </c>
      <c r="B26" s="139" t="s">
        <v>66</v>
      </c>
      <c r="C26" s="179">
        <f>C17+$S$5</f>
        <v>0.6722222222222225</v>
      </c>
      <c r="D26" s="139"/>
      <c r="E26" s="203" t="str">
        <f>E20</f>
        <v>TSV Kareth Lappersdorf 3</v>
      </c>
      <c r="F26" s="203" t="s">
        <v>10</v>
      </c>
      <c r="G26" s="310" t="str">
        <f>H21</f>
        <v>1.FC Schwarzenfeld</v>
      </c>
      <c r="H26" s="310"/>
      <c r="I26" s="310"/>
      <c r="J26" s="310"/>
      <c r="K26" s="310"/>
      <c r="L26" s="310"/>
      <c r="M26" s="310"/>
      <c r="N26" s="310"/>
      <c r="O26" s="203">
        <v>3</v>
      </c>
      <c r="P26" s="203" t="s">
        <v>28</v>
      </c>
      <c r="Q26" s="203">
        <v>2</v>
      </c>
      <c r="R26" s="307"/>
      <c r="S26" s="205"/>
      <c r="T26" s="206" t="s">
        <v>28</v>
      </c>
      <c r="U26" s="206"/>
      <c r="V26" s="306"/>
      <c r="W26" s="205"/>
      <c r="X26" s="207" t="s">
        <v>28</v>
      </c>
      <c r="Y26" s="207"/>
      <c r="Z26" s="127"/>
      <c r="AA26" s="195"/>
      <c r="AB26" s="195"/>
      <c r="AC26" s="195"/>
      <c r="AD26" s="195"/>
      <c r="AE26" s="195"/>
      <c r="AF26" s="195"/>
      <c r="AG26" s="195"/>
      <c r="AH26" s="195"/>
      <c r="AI26" s="195"/>
      <c r="AJ26" s="208"/>
      <c r="AK26" s="195"/>
      <c r="AL26" s="195"/>
      <c r="AM26" s="195"/>
    </row>
    <row r="27" spans="1:42" x14ac:dyDescent="0.25">
      <c r="A27" s="139">
        <v>15</v>
      </c>
      <c r="B27" s="139" t="s">
        <v>67</v>
      </c>
      <c r="C27" s="179">
        <f>C26+$S$4</f>
        <v>0.68020833333333364</v>
      </c>
      <c r="D27" s="139"/>
      <c r="E27" s="198" t="s">
        <v>68</v>
      </c>
      <c r="F27" s="209"/>
      <c r="G27" s="302" t="s">
        <v>69</v>
      </c>
      <c r="H27" s="302"/>
      <c r="I27" s="302"/>
      <c r="J27" s="302"/>
      <c r="K27" s="302"/>
      <c r="L27" s="302"/>
      <c r="M27" s="302"/>
      <c r="N27" s="302"/>
      <c r="O27" s="210"/>
      <c r="P27" s="210"/>
      <c r="Q27" s="210"/>
      <c r="R27" s="307"/>
      <c r="S27" s="205"/>
      <c r="T27" s="205"/>
      <c r="U27" s="205"/>
      <c r="V27" s="306"/>
      <c r="W27" s="205"/>
      <c r="X27" s="205"/>
      <c r="Y27" s="205"/>
      <c r="Z27" s="127"/>
    </row>
    <row r="28" spans="1:42" x14ac:dyDescent="0.25">
      <c r="A28" s="139"/>
      <c r="B28" s="139"/>
      <c r="C28" s="179"/>
      <c r="D28" s="139"/>
      <c r="E28" s="203" t="str">
        <f>H20</f>
        <v>RT Regensburg</v>
      </c>
      <c r="F28" s="203" t="s">
        <v>10</v>
      </c>
      <c r="G28" s="310" t="str">
        <f>E21</f>
        <v>FSV Prüfening 2</v>
      </c>
      <c r="H28" s="310"/>
      <c r="I28" s="310"/>
      <c r="J28" s="310"/>
      <c r="K28" s="310"/>
      <c r="L28" s="310"/>
      <c r="M28" s="310"/>
      <c r="N28" s="310"/>
      <c r="O28" s="211">
        <v>3</v>
      </c>
      <c r="P28" s="211" t="s">
        <v>28</v>
      </c>
      <c r="Q28" s="211">
        <v>4</v>
      </c>
      <c r="R28" s="307"/>
      <c r="S28" s="205"/>
      <c r="T28" s="206" t="s">
        <v>28</v>
      </c>
      <c r="U28" s="206"/>
      <c r="V28" s="306"/>
      <c r="W28" s="207"/>
      <c r="X28" s="207" t="s">
        <v>28</v>
      </c>
      <c r="Y28" s="207"/>
      <c r="Z28" s="127"/>
    </row>
    <row r="29" spans="1:42" x14ac:dyDescent="0.25">
      <c r="A29" s="139"/>
      <c r="B29" s="139"/>
      <c r="C29" s="179"/>
      <c r="D29" s="139"/>
      <c r="E29" s="302" t="s">
        <v>70</v>
      </c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7"/>
      <c r="S29" s="133"/>
      <c r="T29" s="206"/>
      <c r="U29" s="206"/>
      <c r="V29" s="306"/>
      <c r="W29" s="207"/>
      <c r="X29" s="207"/>
      <c r="Y29" s="207"/>
      <c r="Z29" s="127"/>
    </row>
    <row r="30" spans="1:42" x14ac:dyDescent="0.25">
      <c r="A30" s="139"/>
      <c r="B30" s="139"/>
      <c r="C30" s="179"/>
      <c r="D30" s="139"/>
      <c r="E30" s="198" t="s">
        <v>71</v>
      </c>
      <c r="F30" s="209"/>
      <c r="G30" s="302" t="s">
        <v>72</v>
      </c>
      <c r="H30" s="302"/>
      <c r="I30" s="302"/>
      <c r="J30" s="302"/>
      <c r="K30" s="302"/>
      <c r="L30" s="302"/>
      <c r="M30" s="302"/>
      <c r="N30" s="302"/>
      <c r="O30" s="211"/>
      <c r="P30" s="211"/>
      <c r="Q30" s="211"/>
      <c r="R30" s="307"/>
      <c r="S30" s="133"/>
      <c r="T30" s="205"/>
      <c r="U30" s="206"/>
      <c r="V30" s="306"/>
      <c r="W30" s="205"/>
      <c r="X30" s="205"/>
      <c r="Y30" s="205"/>
      <c r="Z30" s="127"/>
    </row>
    <row r="31" spans="1:42" x14ac:dyDescent="0.25">
      <c r="A31" s="139">
        <v>14</v>
      </c>
      <c r="B31" s="139" t="s">
        <v>66</v>
      </c>
      <c r="C31" s="179">
        <f>C27+$S$4</f>
        <v>0.68819444444444478</v>
      </c>
      <c r="D31" s="139"/>
      <c r="E31" s="203" t="str">
        <f>E23</f>
        <v>JFG Kickers Labertal 2</v>
      </c>
      <c r="F31" s="203" t="s">
        <v>10</v>
      </c>
      <c r="G31" s="310" t="str">
        <f>H23</f>
        <v>FC Tegernheim</v>
      </c>
      <c r="H31" s="310"/>
      <c r="I31" s="310"/>
      <c r="J31" s="310"/>
      <c r="K31" s="310"/>
      <c r="L31" s="310"/>
      <c r="M31" s="310"/>
      <c r="N31" s="310"/>
      <c r="O31" s="203">
        <f>SUM(S31+W31)</f>
        <v>0</v>
      </c>
      <c r="P31" s="203"/>
      <c r="Q31" s="203">
        <v>1</v>
      </c>
      <c r="R31" s="307"/>
      <c r="S31" s="133"/>
      <c r="T31" s="206" t="s">
        <v>28</v>
      </c>
      <c r="U31" s="206"/>
      <c r="V31" s="306"/>
      <c r="W31" s="207"/>
      <c r="X31" s="207" t="s">
        <v>28</v>
      </c>
      <c r="Y31" s="212"/>
      <c r="Z31" s="127"/>
    </row>
    <row r="32" spans="1:42" x14ac:dyDescent="0.25">
      <c r="A32" s="139"/>
      <c r="B32" s="139"/>
      <c r="C32" s="179"/>
      <c r="D32" s="139"/>
      <c r="E32" s="198" t="s">
        <v>73</v>
      </c>
      <c r="F32" s="209"/>
      <c r="G32" s="302" t="s">
        <v>74</v>
      </c>
      <c r="H32" s="302"/>
      <c r="I32" s="302"/>
      <c r="J32" s="302"/>
      <c r="K32" s="302"/>
      <c r="L32" s="302"/>
      <c r="M32" s="302"/>
      <c r="N32" s="302"/>
      <c r="O32" s="211"/>
      <c r="P32" s="211"/>
      <c r="Q32" s="211"/>
      <c r="R32" s="307"/>
      <c r="S32" s="133"/>
      <c r="T32" s="133"/>
      <c r="U32" s="206"/>
      <c r="V32" s="306"/>
      <c r="W32" s="207"/>
      <c r="X32" s="207"/>
      <c r="Y32" s="213"/>
      <c r="Z32" s="214"/>
    </row>
    <row r="33" spans="1:26" x14ac:dyDescent="0.25">
      <c r="A33" s="139">
        <v>16</v>
      </c>
      <c r="B33" s="139" t="s">
        <v>75</v>
      </c>
      <c r="C33" s="179">
        <f>C31+$S$4</f>
        <v>0.69618055555555591</v>
      </c>
      <c r="D33" s="139"/>
      <c r="E33" s="203" t="str">
        <f>E22</f>
        <v>JFG Naab-Regen C2</v>
      </c>
      <c r="F33" s="203" t="s">
        <v>10</v>
      </c>
      <c r="G33" s="310" t="str">
        <f>H22</f>
        <v>(SG) SV Eggmühl</v>
      </c>
      <c r="H33" s="310"/>
      <c r="I33" s="310"/>
      <c r="J33" s="310"/>
      <c r="K33" s="310"/>
      <c r="L33" s="310"/>
      <c r="M33" s="310"/>
      <c r="N33" s="310"/>
      <c r="O33" s="203">
        <f>SUM(S33+W33)</f>
        <v>0</v>
      </c>
      <c r="P33" s="203"/>
      <c r="Q33" s="203">
        <v>1</v>
      </c>
      <c r="R33" s="307"/>
      <c r="S33" s="133"/>
      <c r="T33" s="206" t="s">
        <v>28</v>
      </c>
      <c r="U33" s="206"/>
      <c r="V33" s="306"/>
      <c r="W33" s="207"/>
      <c r="X33" s="207" t="s">
        <v>28</v>
      </c>
      <c r="Y33" s="207"/>
      <c r="Z33" s="214"/>
    </row>
    <row r="34" spans="1:26" x14ac:dyDescent="0.25">
      <c r="A34" s="139"/>
      <c r="B34" s="139"/>
      <c r="C34" s="179"/>
      <c r="D34" s="139"/>
      <c r="E34" s="198" t="s">
        <v>76</v>
      </c>
      <c r="F34" s="209"/>
      <c r="G34" s="302" t="s">
        <v>77</v>
      </c>
      <c r="H34" s="302"/>
      <c r="I34" s="302"/>
      <c r="J34" s="302"/>
      <c r="K34" s="302"/>
      <c r="L34" s="302"/>
      <c r="M34" s="302"/>
      <c r="N34" s="302"/>
      <c r="O34" s="211"/>
      <c r="P34" s="211"/>
      <c r="Q34" s="211"/>
      <c r="R34" s="307"/>
      <c r="S34" s="133"/>
      <c r="T34" s="133"/>
      <c r="U34" s="206"/>
      <c r="V34" s="306"/>
      <c r="W34" s="207"/>
      <c r="X34" s="207"/>
      <c r="Y34" s="213"/>
    </row>
    <row r="35" spans="1:26" x14ac:dyDescent="0.25">
      <c r="A35" s="139">
        <v>17</v>
      </c>
      <c r="B35" s="139" t="s">
        <v>78</v>
      </c>
      <c r="C35" s="179">
        <f>C33+$S$4</f>
        <v>0.70416666666666705</v>
      </c>
      <c r="D35" s="139"/>
      <c r="E35" s="215" t="str">
        <f>IF(O26+Q26=0,0,IF(Q26&gt;O26,E26,G26))</f>
        <v>1.FC Schwarzenfeld</v>
      </c>
      <c r="F35" s="203" t="s">
        <v>10</v>
      </c>
      <c r="G35" s="310" t="str">
        <f>IF(O28+Q28=0,0,IF(O28&lt;Q28,E28,G28))</f>
        <v>RT Regensburg</v>
      </c>
      <c r="H35" s="310"/>
      <c r="I35" s="310"/>
      <c r="J35" s="310"/>
      <c r="K35" s="310"/>
      <c r="L35" s="310"/>
      <c r="M35" s="310"/>
      <c r="N35" s="310"/>
      <c r="O35" s="203">
        <v>1</v>
      </c>
      <c r="P35" s="203"/>
      <c r="Q35" s="203">
        <f>SUM(U35+Y35)</f>
        <v>0</v>
      </c>
      <c r="R35" s="307"/>
      <c r="S35" s="133"/>
      <c r="T35" s="206" t="s">
        <v>28</v>
      </c>
      <c r="U35" s="206"/>
      <c r="V35" s="306"/>
      <c r="W35" s="207"/>
      <c r="X35" s="207" t="s">
        <v>28</v>
      </c>
      <c r="Y35" s="207"/>
    </row>
    <row r="36" spans="1:26" x14ac:dyDescent="0.25">
      <c r="A36" s="139"/>
      <c r="B36" s="139"/>
      <c r="C36" s="179"/>
      <c r="D36" s="139"/>
      <c r="E36" s="198" t="s">
        <v>79</v>
      </c>
      <c r="F36" s="209"/>
      <c r="G36" s="302" t="s">
        <v>80</v>
      </c>
      <c r="H36" s="302"/>
      <c r="I36" s="302"/>
      <c r="J36" s="302"/>
      <c r="K36" s="302"/>
      <c r="L36" s="302"/>
      <c r="M36" s="302"/>
      <c r="N36" s="302"/>
      <c r="O36" s="211"/>
      <c r="P36" s="211"/>
      <c r="Q36" s="211"/>
      <c r="R36" s="307"/>
      <c r="S36" s="133"/>
      <c r="T36" s="133"/>
      <c r="U36" s="206"/>
      <c r="V36" s="306"/>
      <c r="W36" s="207"/>
      <c r="X36" s="207"/>
      <c r="Y36" s="213"/>
    </row>
    <row r="37" spans="1:26" x14ac:dyDescent="0.25">
      <c r="A37" s="139">
        <v>18</v>
      </c>
      <c r="B37" s="139" t="s">
        <v>81</v>
      </c>
      <c r="C37" s="179">
        <f>C35+$S$4</f>
        <v>0.71215277777777819</v>
      </c>
      <c r="D37" s="139"/>
      <c r="E37" s="215" t="str">
        <f>IF(O26+Q26=0,0,IF(O26&gt;Q26,E26,G26))</f>
        <v>TSV Kareth Lappersdorf 3</v>
      </c>
      <c r="F37" s="203" t="s">
        <v>10</v>
      </c>
      <c r="G37" s="310" t="str">
        <f>IF(O28+Q28=0,0,IF(O28&gt;Q28,E28,G28))</f>
        <v>FSV Prüfening 2</v>
      </c>
      <c r="H37" s="310"/>
      <c r="I37" s="310"/>
      <c r="J37" s="310"/>
      <c r="K37" s="310"/>
      <c r="L37" s="310"/>
      <c r="M37" s="310"/>
      <c r="N37" s="310"/>
      <c r="O37" s="203">
        <f>SUM(S37+W37)</f>
        <v>0</v>
      </c>
      <c r="P37" s="203"/>
      <c r="Q37" s="203">
        <v>1</v>
      </c>
      <c r="R37" s="307"/>
      <c r="S37" s="133"/>
      <c r="T37" s="206" t="s">
        <v>28</v>
      </c>
      <c r="U37" s="206"/>
      <c r="V37" s="306"/>
      <c r="W37" s="207"/>
      <c r="X37" s="207" t="s">
        <v>28</v>
      </c>
      <c r="Y37" s="207"/>
    </row>
    <row r="38" spans="1:26" x14ac:dyDescent="0.25">
      <c r="A38" s="122"/>
      <c r="B38" s="122"/>
      <c r="C38" s="179">
        <f>C37+S4</f>
        <v>0.72013888888888933</v>
      </c>
      <c r="D38" s="122"/>
      <c r="E38" s="122"/>
      <c r="F38" s="136"/>
      <c r="G38" s="137"/>
      <c r="H38" s="137"/>
      <c r="I38" s="126"/>
      <c r="J38" s="126"/>
      <c r="K38" s="126"/>
      <c r="L38" s="126"/>
      <c r="M38" s="126"/>
      <c r="N38" s="126"/>
      <c r="O38" s="137"/>
      <c r="P38" s="137"/>
      <c r="Q38" s="137"/>
      <c r="R38" s="126"/>
      <c r="S38" s="126"/>
      <c r="T38" s="126"/>
      <c r="U38" s="122"/>
      <c r="V38" s="122"/>
    </row>
    <row r="39" spans="1:26" x14ac:dyDescent="0.25">
      <c r="A39" s="122"/>
      <c r="B39" s="122"/>
      <c r="C39" s="128" t="s">
        <v>0</v>
      </c>
      <c r="D39" s="122">
        <v>8</v>
      </c>
      <c r="E39" s="216" t="str">
        <f>IF(O31+Q31=0,0,IF(O31&lt;Q31,E31,G31))</f>
        <v>JFG Kickers Labertal 2</v>
      </c>
      <c r="F39" s="136"/>
      <c r="G39" s="138"/>
      <c r="H39" s="217"/>
      <c r="I39" s="217"/>
      <c r="J39" s="217"/>
      <c r="K39" s="217"/>
      <c r="L39" s="217"/>
      <c r="M39" s="217"/>
      <c r="N39" s="217"/>
      <c r="O39" s="137"/>
      <c r="P39" s="137"/>
      <c r="Q39" s="137"/>
      <c r="R39" s="126"/>
      <c r="S39" s="126"/>
      <c r="T39" s="126"/>
      <c r="U39" s="122"/>
      <c r="V39" s="122"/>
    </row>
    <row r="40" spans="1:26" x14ac:dyDescent="0.25">
      <c r="A40" s="122"/>
      <c r="B40" s="122"/>
      <c r="C40" s="128" t="s">
        <v>0</v>
      </c>
      <c r="D40" s="122">
        <v>7</v>
      </c>
      <c r="E40" s="216" t="str">
        <f>IF(O31+Q31=0,0,IF(O31&gt;Q31,E31,G31))</f>
        <v>FC Tegernheim</v>
      </c>
      <c r="F40" s="218"/>
      <c r="G40" s="137"/>
      <c r="H40" s="137"/>
      <c r="I40" s="126"/>
      <c r="J40" s="126"/>
      <c r="K40" s="126"/>
      <c r="L40" s="126"/>
      <c r="M40" s="126"/>
      <c r="N40" s="126"/>
      <c r="O40" s="137"/>
      <c r="P40" s="137"/>
      <c r="Q40" s="137"/>
      <c r="R40" s="126"/>
      <c r="S40" s="126"/>
      <c r="T40" s="126"/>
      <c r="U40" s="122"/>
      <c r="V40" s="122"/>
    </row>
    <row r="41" spans="1:26" x14ac:dyDescent="0.25">
      <c r="A41" s="122"/>
      <c r="B41" s="122"/>
      <c r="C41" s="128" t="s">
        <v>0</v>
      </c>
      <c r="D41" s="122">
        <v>6</v>
      </c>
      <c r="E41" s="216" t="str">
        <f>IF(O33+Q33=0,0,IF(O33&lt;Q33,E33,G33))</f>
        <v>JFG Naab-Regen C2</v>
      </c>
      <c r="F41" s="218"/>
      <c r="G41" s="121"/>
      <c r="H41" s="137"/>
      <c r="I41" s="126"/>
      <c r="J41" s="126"/>
      <c r="K41" s="122"/>
      <c r="L41" s="122"/>
      <c r="M41" s="122"/>
      <c r="N41" s="122"/>
      <c r="O41" s="121"/>
      <c r="P41" s="121"/>
      <c r="Q41" s="121"/>
      <c r="R41" s="122"/>
      <c r="S41" s="126"/>
      <c r="T41" s="126"/>
      <c r="U41" s="122"/>
      <c r="V41" s="122"/>
    </row>
    <row r="42" spans="1:26" x14ac:dyDescent="0.25">
      <c r="A42" s="122"/>
      <c r="B42" s="122"/>
      <c r="C42" s="128" t="s">
        <v>0</v>
      </c>
      <c r="D42" s="122">
        <v>5</v>
      </c>
      <c r="E42" s="216" t="str">
        <f>IF(O33+Q33=0,0,IF(O33&gt;Q33,E33,G33))</f>
        <v>(SG) SV Eggmühl</v>
      </c>
      <c r="F42" s="219"/>
      <c r="G42" s="137"/>
      <c r="H42" s="137"/>
      <c r="I42" s="126"/>
      <c r="J42" s="126"/>
      <c r="K42" s="126"/>
      <c r="L42" s="126"/>
      <c r="M42" s="126"/>
      <c r="N42" s="126"/>
      <c r="O42" s="137"/>
      <c r="P42" s="137"/>
      <c r="Q42" s="137"/>
      <c r="R42" s="126"/>
      <c r="S42" s="126"/>
      <c r="T42" s="126"/>
      <c r="U42" s="122"/>
      <c r="V42" s="122"/>
    </row>
    <row r="43" spans="1:26" x14ac:dyDescent="0.25">
      <c r="A43" s="122"/>
      <c r="B43" s="122"/>
      <c r="C43" s="128" t="s">
        <v>0</v>
      </c>
      <c r="D43" s="122">
        <v>4</v>
      </c>
      <c r="E43" s="219" t="str">
        <f>IF(O35+Q35=0,0,IF(O35&lt;Q35,E35,G35))</f>
        <v>RT Regensburg</v>
      </c>
      <c r="G43" s="137"/>
      <c r="H43" s="137"/>
      <c r="I43" s="126"/>
      <c r="J43" s="126"/>
      <c r="K43" s="126"/>
      <c r="L43" s="126"/>
      <c r="M43" s="126"/>
      <c r="N43" s="126"/>
      <c r="O43" s="137"/>
      <c r="P43" s="137"/>
      <c r="Q43" s="137"/>
      <c r="R43" s="126"/>
      <c r="S43" s="126"/>
      <c r="T43" s="126"/>
      <c r="U43" s="122"/>
      <c r="V43" s="122"/>
    </row>
    <row r="44" spans="1:26" x14ac:dyDescent="0.25">
      <c r="A44" s="122"/>
      <c r="B44" s="122"/>
      <c r="C44" s="128" t="s">
        <v>0</v>
      </c>
      <c r="D44" s="122">
        <v>3</v>
      </c>
      <c r="E44" s="219" t="str">
        <f>IF(O35+Q35=0,0,IF(O35&gt;Q35,E35,G35))</f>
        <v>1.FC Schwarzenfeld</v>
      </c>
      <c r="F44" s="136"/>
      <c r="G44" s="137"/>
      <c r="H44" s="137"/>
      <c r="I44" s="126"/>
      <c r="J44" s="126"/>
      <c r="K44" s="126"/>
      <c r="L44" s="126"/>
      <c r="M44" s="126"/>
      <c r="N44" s="126"/>
      <c r="O44" s="137"/>
      <c r="P44" s="137"/>
      <c r="Q44" s="137"/>
      <c r="R44" s="126"/>
      <c r="S44" s="126"/>
      <c r="T44" s="126"/>
      <c r="U44" s="122"/>
      <c r="V44" s="122"/>
    </row>
    <row r="45" spans="1:26" x14ac:dyDescent="0.25">
      <c r="A45" s="122"/>
      <c r="B45" s="122"/>
      <c r="C45" s="128" t="s">
        <v>0</v>
      </c>
      <c r="D45" s="122">
        <v>2</v>
      </c>
      <c r="E45" s="219" t="str">
        <f>IF(O37+Q37=0,0,IF(O37&lt;Q37,E37,G37))</f>
        <v>TSV Kareth Lappersdorf 3</v>
      </c>
      <c r="G45" s="137"/>
      <c r="H45" s="137"/>
      <c r="I45" s="126"/>
      <c r="J45" s="126"/>
      <c r="K45" s="126"/>
      <c r="L45" s="126"/>
      <c r="M45" s="126"/>
      <c r="N45" s="126"/>
      <c r="O45" s="137"/>
      <c r="P45" s="137"/>
      <c r="Q45" s="137"/>
      <c r="R45" s="126"/>
      <c r="S45" s="126"/>
      <c r="T45" s="126"/>
      <c r="U45" s="122"/>
      <c r="V45" s="122"/>
    </row>
    <row r="46" spans="1:26" x14ac:dyDescent="0.25">
      <c r="A46" s="122"/>
      <c r="B46" s="122"/>
      <c r="C46" s="128" t="s">
        <v>0</v>
      </c>
      <c r="D46" s="122">
        <v>1</v>
      </c>
      <c r="E46" s="219" t="str">
        <f>IF(O37+Q37=0,0,IF(O37&gt;Q37,E37,G37))</f>
        <v>FSV Prüfening 2</v>
      </c>
      <c r="F46" s="136"/>
      <c r="G46" s="137"/>
      <c r="H46" s="137"/>
      <c r="I46" s="126"/>
      <c r="J46" s="126"/>
      <c r="K46" s="126"/>
      <c r="L46" s="126"/>
      <c r="M46" s="126"/>
      <c r="N46" s="126"/>
      <c r="O46" s="137"/>
      <c r="P46" s="137"/>
      <c r="Q46" s="137"/>
      <c r="R46" s="126"/>
      <c r="S46" s="126"/>
      <c r="T46" s="126"/>
      <c r="U46" s="122"/>
      <c r="V46" s="122"/>
    </row>
    <row r="47" spans="1:26" x14ac:dyDescent="0.25">
      <c r="A47" s="122"/>
      <c r="B47" s="122"/>
      <c r="C47" s="128"/>
      <c r="D47" s="122"/>
      <c r="E47" s="135"/>
      <c r="F47" s="136"/>
      <c r="G47" s="137"/>
      <c r="H47" s="137"/>
      <c r="I47" s="126"/>
      <c r="J47" s="126"/>
      <c r="K47" s="126"/>
      <c r="L47" s="126"/>
      <c r="M47" s="126"/>
      <c r="N47" s="126"/>
      <c r="O47" s="137"/>
      <c r="P47" s="137"/>
      <c r="Q47" s="137"/>
      <c r="R47" s="126"/>
      <c r="S47" s="126"/>
      <c r="T47" s="126"/>
      <c r="U47" s="122"/>
      <c r="V47" s="122"/>
    </row>
    <row r="48" spans="1:26" x14ac:dyDescent="0.25">
      <c r="F48" s="117">
        <f>SUM(O5:O16,Q5:Q16,S26:S37,U26:U37)</f>
        <v>25</v>
      </c>
    </row>
    <row r="49" spans="6:6" x14ac:dyDescent="0.25">
      <c r="F49" s="220">
        <f>SUM(F48/18)</f>
        <v>1.3888888888888888</v>
      </c>
    </row>
  </sheetData>
  <sheetProtection selectLockedCells="1" selectUnlockedCells="1"/>
  <mergeCells count="48">
    <mergeCell ref="G36:N36"/>
    <mergeCell ref="G37:N37"/>
    <mergeCell ref="G30:N30"/>
    <mergeCell ref="G31:N31"/>
    <mergeCell ref="G32:N32"/>
    <mergeCell ref="G33:N33"/>
    <mergeCell ref="G34:N34"/>
    <mergeCell ref="G35:N35"/>
    <mergeCell ref="E29:Q29"/>
    <mergeCell ref="H20:N20"/>
    <mergeCell ref="AF20:AH20"/>
    <mergeCell ref="H21:N21"/>
    <mergeCell ref="H22:N22"/>
    <mergeCell ref="H23:N23"/>
    <mergeCell ref="E24:Q24"/>
    <mergeCell ref="R24:R37"/>
    <mergeCell ref="S24:U24"/>
    <mergeCell ref="V24:V37"/>
    <mergeCell ref="W24:Y24"/>
    <mergeCell ref="G25:N25"/>
    <mergeCell ref="S25:U25"/>
    <mergeCell ref="G26:N26"/>
    <mergeCell ref="G27:N27"/>
    <mergeCell ref="G28:N28"/>
    <mergeCell ref="H19:N19"/>
    <mergeCell ref="G6:N6"/>
    <mergeCell ref="G7:N7"/>
    <mergeCell ref="G8:N8"/>
    <mergeCell ref="G9:N9"/>
    <mergeCell ref="G10:N10"/>
    <mergeCell ref="G11:N11"/>
    <mergeCell ref="G12:N12"/>
    <mergeCell ref="G13:N13"/>
    <mergeCell ref="G14:N14"/>
    <mergeCell ref="G15:N15"/>
    <mergeCell ref="G16:N16"/>
    <mergeCell ref="A4:D4"/>
    <mergeCell ref="G4:K4"/>
    <mergeCell ref="L4:O4"/>
    <mergeCell ref="S4:U4"/>
    <mergeCell ref="G5:N5"/>
    <mergeCell ref="S5:U5"/>
    <mergeCell ref="A3:Q3"/>
    <mergeCell ref="A1:Q1"/>
    <mergeCell ref="A2:E2"/>
    <mergeCell ref="H2:I2"/>
    <mergeCell ref="K2:L2"/>
    <mergeCell ref="M2:N2"/>
  </mergeCells>
  <conditionalFormatting sqref="E5:G5 E7:G7 E9:G9 E11:G11 E13:G13 E15:G15 O5:Q5 O7:Q7 O9:Q9 O11:Q11 O13:Q13 O15:Q15">
    <cfRule type="expression" dxfId="19" priority="1" stopIfTrue="1">
      <formula>(ISBLANK($O5)=0)</formula>
    </cfRule>
  </conditionalFormatting>
  <conditionalFormatting sqref="E6:G6 E8:G8 E10:G10 E12:G12 E14:G14 E16:G16 E25:G26 E28:F29 E35:G35 E37:G37 G27:G30 G32 G34:G37 O6:Q6 O8:Q8 O10:Q10 O12:Q12 O14:Q14 O16:Q16 O25:Q26 O35:Q35 O37:Q37">
    <cfRule type="expression" dxfId="18" priority="2" stopIfTrue="1">
      <formula>#N/A</formula>
    </cfRule>
  </conditionalFormatting>
  <conditionalFormatting sqref="E31:G31 E33:G33 O31:Q31 O33:Q33">
    <cfRule type="expression" dxfId="17" priority="3" stopIfTrue="1">
      <formula>(ISBLANK($O31)=0)</formula>
    </cfRule>
  </conditionalFormatting>
  <pageMargins left="0.7" right="0.7" top="1.575" bottom="1.575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60"/>
  <sheetViews>
    <sheetView zoomScale="85" zoomScaleNormal="85" workbookViewId="0">
      <selection activeCell="AQ36" sqref="AQ36"/>
    </sheetView>
  </sheetViews>
  <sheetFormatPr baseColWidth="10" defaultColWidth="3.140625" defaultRowHeight="14.25" x14ac:dyDescent="0.2"/>
  <cols>
    <col min="1" max="1" width="3.140625" style="117"/>
    <col min="2" max="2" width="3.42578125" style="117" customWidth="1"/>
    <col min="3" max="3" width="5.85546875" style="221" customWidth="1"/>
    <col min="4" max="4" width="2" style="117" customWidth="1"/>
    <col min="5" max="5" width="26.85546875" style="117" customWidth="1"/>
    <col min="6" max="6" width="4.5703125" style="117" customWidth="1"/>
    <col min="7" max="15" width="3.28515625" style="117" customWidth="1"/>
    <col min="16" max="16" width="1.85546875" style="117" customWidth="1"/>
    <col min="17" max="18" width="3.28515625" style="117" customWidth="1"/>
    <col min="19" max="19" width="4" style="117" customWidth="1"/>
    <col min="20" max="25" width="3.28515625" style="117" customWidth="1"/>
    <col min="26" max="26" width="23" style="117" customWidth="1"/>
    <col min="27" max="27" width="2" style="117" customWidth="1"/>
    <col min="28" max="28" width="1.5703125" style="117" customWidth="1"/>
    <col min="29" max="30" width="2" style="117" customWidth="1"/>
    <col min="31" max="31" width="1.5703125" style="117" customWidth="1"/>
    <col min="32" max="32" width="2" style="117" customWidth="1"/>
    <col min="33" max="33" width="3.140625" style="117"/>
    <col min="34" max="34" width="1.5703125" style="117" customWidth="1"/>
    <col min="35" max="35" width="3.140625" style="117"/>
    <col min="36" max="36" width="6.140625" style="117" customWidth="1"/>
    <col min="37" max="37" width="3.140625" style="117"/>
    <col min="38" max="38" width="1.5703125" style="117" customWidth="1"/>
    <col min="39" max="39" width="3.140625" style="117"/>
    <col min="40" max="40" width="3.85546875" style="117" customWidth="1"/>
    <col min="41" max="41" width="4.5703125" style="117" customWidth="1"/>
    <col min="42" max="42" width="5.85546875" style="117" bestFit="1" customWidth="1"/>
    <col min="43" max="43" width="8.7109375" style="117" customWidth="1"/>
    <col min="44" max="254" width="12.28515625" style="117" customWidth="1"/>
    <col min="255" max="255" width="2.7109375" style="117" customWidth="1"/>
    <col min="256" max="16384" width="3.140625" style="117"/>
  </cols>
  <sheetData>
    <row r="1" spans="1:43" s="122" customFormat="1" ht="12.75" x14ac:dyDescent="0.2">
      <c r="A1" s="290" t="s">
        <v>82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43" s="122" customFormat="1" ht="12.75" x14ac:dyDescent="0.2">
      <c r="A2" s="291">
        <v>43484</v>
      </c>
      <c r="B2" s="291"/>
      <c r="C2" s="291"/>
      <c r="D2" s="291"/>
      <c r="E2" s="291"/>
      <c r="F2" s="124"/>
      <c r="G2" s="124" t="s">
        <v>49</v>
      </c>
      <c r="H2" s="292">
        <v>0.76041666666666663</v>
      </c>
      <c r="I2" s="292"/>
      <c r="J2" s="121" t="s">
        <v>50</v>
      </c>
      <c r="K2" s="293">
        <f>C37</f>
        <v>0.90138888888888835</v>
      </c>
      <c r="L2" s="293"/>
      <c r="M2" s="294" t="s">
        <v>51</v>
      </c>
      <c r="N2" s="294"/>
      <c r="O2" s="121"/>
      <c r="P2" s="121"/>
      <c r="Q2" s="121"/>
      <c r="R2" s="121"/>
      <c r="S2" s="121"/>
      <c r="T2" s="121"/>
      <c r="U2" s="121"/>
      <c r="V2" s="121"/>
      <c r="W2" s="121"/>
    </row>
    <row r="3" spans="1:43" x14ac:dyDescent="0.2">
      <c r="A3" s="289" t="s">
        <v>52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126"/>
      <c r="S3" s="126"/>
      <c r="T3" s="126"/>
      <c r="U3" s="122"/>
      <c r="V3" s="122"/>
    </row>
    <row r="4" spans="1:43" x14ac:dyDescent="0.2">
      <c r="A4" s="295" t="s">
        <v>7</v>
      </c>
      <c r="B4" s="295"/>
      <c r="C4" s="295"/>
      <c r="D4" s="295"/>
      <c r="E4" s="190">
        <v>6.9444444444444441E-3</v>
      </c>
      <c r="F4" s="121"/>
      <c r="G4" s="311" t="s">
        <v>8</v>
      </c>
      <c r="H4" s="311"/>
      <c r="I4" s="311"/>
      <c r="J4" s="311"/>
      <c r="K4" s="311"/>
      <c r="L4" s="312">
        <v>6.9444444444444447E-4</v>
      </c>
      <c r="M4" s="312"/>
      <c r="N4" s="312"/>
      <c r="O4" s="312"/>
      <c r="P4" s="129"/>
      <c r="Q4" s="129"/>
      <c r="R4" s="126"/>
      <c r="S4" s="313">
        <f>SUM(E4+L4)</f>
        <v>7.6388888888888886E-3</v>
      </c>
      <c r="T4" s="313"/>
      <c r="U4" s="313"/>
      <c r="V4" s="122"/>
    </row>
    <row r="5" spans="1:43" x14ac:dyDescent="0.2">
      <c r="A5" s="130">
        <v>1</v>
      </c>
      <c r="B5" s="130" t="s">
        <v>9</v>
      </c>
      <c r="C5" s="222">
        <f>H2</f>
        <v>0.76041666666666663</v>
      </c>
      <c r="D5" s="130"/>
      <c r="E5" s="223" t="str">
        <f>Z7</f>
        <v>JFG Naab-Regen B1</v>
      </c>
      <c r="F5" s="223" t="s">
        <v>10</v>
      </c>
      <c r="G5" s="299" t="str">
        <f>Z10</f>
        <v>SpVgg Pfreimd</v>
      </c>
      <c r="H5" s="299"/>
      <c r="I5" s="299"/>
      <c r="J5" s="299"/>
      <c r="K5" s="299"/>
      <c r="L5" s="299"/>
      <c r="M5" s="299"/>
      <c r="N5" s="299"/>
      <c r="O5" s="224">
        <v>0</v>
      </c>
      <c r="P5" s="225" t="s">
        <v>28</v>
      </c>
      <c r="Q5" s="225">
        <v>1</v>
      </c>
      <c r="S5" s="313">
        <v>3.472222222222222E-3</v>
      </c>
      <c r="T5" s="313"/>
      <c r="U5" s="313"/>
      <c r="V5" s="122"/>
      <c r="W5" s="122"/>
      <c r="X5" s="121"/>
      <c r="Y5" s="122"/>
      <c r="Z5" s="135"/>
      <c r="AA5" s="136"/>
      <c r="AB5" s="137"/>
      <c r="AC5" s="137"/>
      <c r="AD5" s="126"/>
      <c r="AE5" s="126"/>
      <c r="AF5" s="126"/>
      <c r="AG5" s="126"/>
      <c r="AH5" s="126"/>
      <c r="AI5" s="126"/>
      <c r="AJ5" s="137"/>
      <c r="AK5" s="126"/>
      <c r="AL5" s="126"/>
      <c r="AM5" s="126"/>
      <c r="AN5" s="126"/>
      <c r="AO5" s="126"/>
      <c r="AP5" s="122"/>
    </row>
    <row r="6" spans="1:43" x14ac:dyDescent="0.2">
      <c r="A6" s="139">
        <v>2</v>
      </c>
      <c r="B6" s="139" t="s">
        <v>9</v>
      </c>
      <c r="C6" s="226">
        <f t="shared" ref="C6:C17" si="0">C5+$S$4</f>
        <v>0.76805555555555549</v>
      </c>
      <c r="D6" s="139"/>
      <c r="E6" s="223" t="str">
        <f>Z12</f>
        <v>JFG Oberpfälzer Seenland</v>
      </c>
      <c r="F6" s="223" t="s">
        <v>10</v>
      </c>
      <c r="G6" s="301" t="str">
        <f>Z15</f>
        <v>SV Obertraubling 2</v>
      </c>
      <c r="H6" s="301"/>
      <c r="I6" s="301"/>
      <c r="J6" s="301"/>
      <c r="K6" s="301"/>
      <c r="L6" s="301"/>
      <c r="M6" s="301"/>
      <c r="N6" s="301"/>
      <c r="O6" s="227">
        <v>1</v>
      </c>
      <c r="P6" s="223" t="s">
        <v>28</v>
      </c>
      <c r="Q6" s="223">
        <v>0</v>
      </c>
      <c r="S6" s="141"/>
      <c r="T6" s="141"/>
      <c r="U6" s="142"/>
      <c r="V6" s="122"/>
      <c r="W6" s="122"/>
      <c r="X6" s="121"/>
      <c r="Y6" s="143" t="s">
        <v>21</v>
      </c>
      <c r="Z6" s="144"/>
      <c r="AA6" s="145" t="s">
        <v>24</v>
      </c>
      <c r="AB6" s="146"/>
      <c r="AC6" s="147"/>
      <c r="AD6" s="148" t="s">
        <v>25</v>
      </c>
      <c r="AE6" s="149"/>
      <c r="AF6" s="150"/>
      <c r="AG6" s="148" t="s">
        <v>26</v>
      </c>
      <c r="AH6" s="149"/>
      <c r="AI6" s="150"/>
      <c r="AJ6" s="152" t="s">
        <v>22</v>
      </c>
      <c r="AK6" s="148" t="s">
        <v>23</v>
      </c>
      <c r="AL6" s="149"/>
      <c r="AM6" s="150"/>
      <c r="AN6" s="152"/>
      <c r="AO6" s="152" t="s">
        <v>0</v>
      </c>
      <c r="AP6" s="153"/>
    </row>
    <row r="7" spans="1:43" x14ac:dyDescent="0.2">
      <c r="A7" s="139">
        <v>3</v>
      </c>
      <c r="B7" s="139" t="s">
        <v>12</v>
      </c>
      <c r="C7" s="226">
        <f t="shared" si="0"/>
        <v>0.77569444444444435</v>
      </c>
      <c r="D7" s="139"/>
      <c r="E7" s="228" t="str">
        <f>Z9</f>
        <v>JFG Obere Vils 08</v>
      </c>
      <c r="F7" s="228" t="s">
        <v>10</v>
      </c>
      <c r="G7" s="301" t="str">
        <f>Z8</f>
        <v>JFG Kickers Labertal</v>
      </c>
      <c r="H7" s="301"/>
      <c r="I7" s="301"/>
      <c r="J7" s="301"/>
      <c r="K7" s="301"/>
      <c r="L7" s="301"/>
      <c r="M7" s="301"/>
      <c r="N7" s="301"/>
      <c r="O7" s="229">
        <v>1</v>
      </c>
      <c r="P7" s="230" t="s">
        <v>28</v>
      </c>
      <c r="Q7" s="230">
        <v>1</v>
      </c>
      <c r="S7" s="126"/>
      <c r="T7" s="126"/>
      <c r="U7" s="122"/>
      <c r="V7" s="122"/>
      <c r="W7" s="186" t="str">
        <f>IF(AO7=0,"4",IF(AO7=1,"3",IF(AO7=2,"2",IF(AO7=3,"1",0))))</f>
        <v>3</v>
      </c>
      <c r="X7" s="121">
        <f>IF(AQ7&gt;AQ8,1,0)+IF(AQ7&gt;AQ9,1,0)+IF(AQ7&gt;AQ10,1,0)</f>
        <v>1</v>
      </c>
      <c r="Y7" s="153" t="s">
        <v>27</v>
      </c>
      <c r="Z7" s="157" t="s">
        <v>83</v>
      </c>
      <c r="AA7" s="158">
        <f>O5</f>
        <v>0</v>
      </c>
      <c r="AB7" s="158" t="str">
        <f>P5</f>
        <v>:</v>
      </c>
      <c r="AC7" s="158">
        <f>Q5</f>
        <v>1</v>
      </c>
      <c r="AD7" s="158">
        <f>Q9</f>
        <v>1</v>
      </c>
      <c r="AE7" s="158" t="s">
        <v>28</v>
      </c>
      <c r="AF7" s="158">
        <f>O9</f>
        <v>0</v>
      </c>
      <c r="AG7" s="158">
        <f>Q13</f>
        <v>2</v>
      </c>
      <c r="AH7" s="158" t="s">
        <v>28</v>
      </c>
      <c r="AI7" s="158">
        <f>O13</f>
        <v>1</v>
      </c>
      <c r="AJ7" s="231"/>
      <c r="AK7" s="158">
        <f>SUM(AA7+AD7+AG7)</f>
        <v>3</v>
      </c>
      <c r="AL7" s="158" t="s">
        <v>28</v>
      </c>
      <c r="AM7" s="158">
        <f>SUM(AC7+AF7+AI7)</f>
        <v>2</v>
      </c>
      <c r="AN7" s="158">
        <f>SUM(AK7-AM7)</f>
        <v>1</v>
      </c>
      <c r="AO7" s="160">
        <f>X7</f>
        <v>1</v>
      </c>
      <c r="AP7" s="161">
        <f>AJ7+AN7%</f>
        <v>0.01</v>
      </c>
      <c r="AQ7" s="162">
        <f>(AJ7*1000000)+(AN7*1000)+AK7</f>
        <v>1003</v>
      </c>
    </row>
    <row r="8" spans="1:43" x14ac:dyDescent="0.2">
      <c r="A8" s="139">
        <v>4</v>
      </c>
      <c r="B8" s="139" t="s">
        <v>12</v>
      </c>
      <c r="C8" s="226">
        <f t="shared" si="0"/>
        <v>0.78333333333333321</v>
      </c>
      <c r="D8" s="139"/>
      <c r="E8" s="223" t="str">
        <f>Z14</f>
        <v>JFG 3 Schlösser-Eck</v>
      </c>
      <c r="F8" s="223" t="s">
        <v>10</v>
      </c>
      <c r="G8" s="301" t="str">
        <f>Z13</f>
        <v>FSV Prüfening</v>
      </c>
      <c r="H8" s="301"/>
      <c r="I8" s="301"/>
      <c r="J8" s="301"/>
      <c r="K8" s="301"/>
      <c r="L8" s="301"/>
      <c r="M8" s="301"/>
      <c r="N8" s="301"/>
      <c r="O8" s="227">
        <v>2</v>
      </c>
      <c r="P8" s="223" t="s">
        <v>28</v>
      </c>
      <c r="Q8" s="223">
        <v>0</v>
      </c>
      <c r="S8" s="126"/>
      <c r="T8" s="126"/>
      <c r="U8" s="122"/>
      <c r="V8" s="122"/>
      <c r="W8" s="186" t="str">
        <f>IF(AO8=0,"4",IF(AO8=1,"3",IF(AO8=2,"2",IF(AO8=3,"1",0))))</f>
        <v>4</v>
      </c>
      <c r="X8" s="121">
        <f>IF(AQ8&gt;AQ7,1,0)+IF(AQ8&gt;AQ9,1,0)+IF(AQ8&gt;AQ10,1,0)</f>
        <v>0</v>
      </c>
      <c r="Y8" s="153" t="s">
        <v>29</v>
      </c>
      <c r="Z8" s="157" t="s">
        <v>84</v>
      </c>
      <c r="AA8" s="158">
        <f>Q7</f>
        <v>1</v>
      </c>
      <c r="AB8" s="158" t="s">
        <v>28</v>
      </c>
      <c r="AC8" s="158">
        <f>O7</f>
        <v>1</v>
      </c>
      <c r="AD8" s="158">
        <f>O9</f>
        <v>0</v>
      </c>
      <c r="AE8" s="158" t="s">
        <v>28</v>
      </c>
      <c r="AF8" s="158">
        <f>Q9</f>
        <v>1</v>
      </c>
      <c r="AG8" s="158">
        <f>O15</f>
        <v>1</v>
      </c>
      <c r="AH8" s="158" t="s">
        <v>28</v>
      </c>
      <c r="AI8" s="158">
        <f>Q15</f>
        <v>3</v>
      </c>
      <c r="AJ8" s="231"/>
      <c r="AK8" s="158">
        <f>SUM(AA8+AD8+AG8)</f>
        <v>2</v>
      </c>
      <c r="AL8" s="158" t="s">
        <v>28</v>
      </c>
      <c r="AM8" s="158">
        <f>SUM(AC8+AF8+AI8)</f>
        <v>5</v>
      </c>
      <c r="AN8" s="158">
        <f>SUM(AK8-AM8)</f>
        <v>-3</v>
      </c>
      <c r="AO8" s="160">
        <f>X8</f>
        <v>0</v>
      </c>
      <c r="AP8" s="161">
        <f>AJ8+AN8%</f>
        <v>-0.03</v>
      </c>
      <c r="AQ8" s="162">
        <f>(AJ8*1000000)+(AN8*1000)+AK8</f>
        <v>-2998</v>
      </c>
    </row>
    <row r="9" spans="1:43" x14ac:dyDescent="0.2">
      <c r="A9" s="139">
        <v>5</v>
      </c>
      <c r="B9" s="139" t="s">
        <v>9</v>
      </c>
      <c r="C9" s="226">
        <f t="shared" si="0"/>
        <v>0.79097222222222208</v>
      </c>
      <c r="D9" s="139"/>
      <c r="E9" s="230" t="str">
        <f>Z8</f>
        <v>JFG Kickers Labertal</v>
      </c>
      <c r="F9" s="230" t="s">
        <v>10</v>
      </c>
      <c r="G9" s="301" t="str">
        <f>Z7</f>
        <v>JFG Naab-Regen B1</v>
      </c>
      <c r="H9" s="301"/>
      <c r="I9" s="301"/>
      <c r="J9" s="301"/>
      <c r="K9" s="301"/>
      <c r="L9" s="301"/>
      <c r="M9" s="301"/>
      <c r="N9" s="301"/>
      <c r="O9" s="229">
        <v>0</v>
      </c>
      <c r="P9" s="230" t="s">
        <v>28</v>
      </c>
      <c r="Q9" s="230">
        <v>1</v>
      </c>
      <c r="S9" s="126"/>
      <c r="T9" s="126"/>
      <c r="U9" s="122"/>
      <c r="V9" s="122"/>
      <c r="W9" s="186" t="str">
        <f>IF(AO9=0,"4",IF(AO9=1,"3",IF(AO9=2,"2",IF(AO9=3,"1",0))))</f>
        <v>2</v>
      </c>
      <c r="X9" s="121">
        <f>IF(AQ9&gt;AQ7,1,0)+IF(AQ9&gt;AQ8,1,0)+IF(AQ9&gt;AQ10,1,0)</f>
        <v>2</v>
      </c>
      <c r="Y9" s="153" t="s">
        <v>30</v>
      </c>
      <c r="Z9" s="157" t="s">
        <v>85</v>
      </c>
      <c r="AA9" s="158">
        <f>O7</f>
        <v>1</v>
      </c>
      <c r="AB9" s="158" t="s">
        <v>28</v>
      </c>
      <c r="AC9" s="158">
        <f>Q7</f>
        <v>1</v>
      </c>
      <c r="AD9" s="158">
        <f>Q11</f>
        <v>2</v>
      </c>
      <c r="AE9" s="158" t="s">
        <v>28</v>
      </c>
      <c r="AF9" s="158">
        <f>O11</f>
        <v>0</v>
      </c>
      <c r="AG9" s="158">
        <f>O13</f>
        <v>1</v>
      </c>
      <c r="AH9" s="158" t="s">
        <v>28</v>
      </c>
      <c r="AI9" s="158">
        <f>Q13</f>
        <v>2</v>
      </c>
      <c r="AJ9" s="231"/>
      <c r="AK9" s="158">
        <f>SUM(AA9+AD9+AG9)</f>
        <v>4</v>
      </c>
      <c r="AL9" s="158" t="s">
        <v>28</v>
      </c>
      <c r="AM9" s="158">
        <f>SUM(AC9+AF9+AI9)</f>
        <v>3</v>
      </c>
      <c r="AN9" s="158">
        <f>SUM(AK9-AM9)</f>
        <v>1</v>
      </c>
      <c r="AO9" s="160">
        <f>X9</f>
        <v>2</v>
      </c>
      <c r="AP9" s="161">
        <f>AJ9+AN9%</f>
        <v>0.01</v>
      </c>
      <c r="AQ9" s="162">
        <f>(AJ9*1000000)+(AN9*1000)+AK9</f>
        <v>1004</v>
      </c>
    </row>
    <row r="10" spans="1:43" x14ac:dyDescent="0.2">
      <c r="A10" s="139">
        <v>7</v>
      </c>
      <c r="B10" s="139" t="s">
        <v>12</v>
      </c>
      <c r="C10" s="226">
        <f t="shared" si="0"/>
        <v>0.79861111111111094</v>
      </c>
      <c r="D10" s="139"/>
      <c r="E10" s="223" t="str">
        <f>Z13</f>
        <v>FSV Prüfening</v>
      </c>
      <c r="F10" s="223" t="s">
        <v>10</v>
      </c>
      <c r="G10" s="301" t="str">
        <f>Z12</f>
        <v>JFG Oberpfälzer Seenland</v>
      </c>
      <c r="H10" s="301"/>
      <c r="I10" s="301"/>
      <c r="J10" s="301"/>
      <c r="K10" s="301"/>
      <c r="L10" s="301"/>
      <c r="M10" s="301"/>
      <c r="N10" s="301"/>
      <c r="O10" s="227">
        <v>1</v>
      </c>
      <c r="P10" s="223" t="s">
        <v>28</v>
      </c>
      <c r="Q10" s="223">
        <v>1</v>
      </c>
      <c r="S10" s="126"/>
      <c r="T10" s="126"/>
      <c r="U10" s="122"/>
      <c r="V10" s="122"/>
      <c r="W10" s="186" t="str">
        <f>IF(AO10=0,"4",IF(AO10=1,"3",IF(AO10=2,"2",IF(AO10=3,"1",0))))</f>
        <v>2</v>
      </c>
      <c r="X10" s="121">
        <f>IF(AQ10&gt;AQ8,1,0)+IF(AQ10&gt;AQ9,1,0)+IF(AQ10&gt;AQ7,1,0)</f>
        <v>2</v>
      </c>
      <c r="Y10" s="153" t="s">
        <v>31</v>
      </c>
      <c r="Z10" s="157" t="s">
        <v>86</v>
      </c>
      <c r="AA10" s="158">
        <f>Q5</f>
        <v>1</v>
      </c>
      <c r="AB10" s="158" t="s">
        <v>28</v>
      </c>
      <c r="AC10" s="158">
        <f>O5</f>
        <v>0</v>
      </c>
      <c r="AD10" s="158">
        <f>O11</f>
        <v>0</v>
      </c>
      <c r="AE10" s="158" t="s">
        <v>28</v>
      </c>
      <c r="AF10" s="158">
        <f>Q11</f>
        <v>2</v>
      </c>
      <c r="AG10" s="158">
        <f>Q15</f>
        <v>3</v>
      </c>
      <c r="AH10" s="158" t="s">
        <v>28</v>
      </c>
      <c r="AI10" s="158">
        <f>O15</f>
        <v>1</v>
      </c>
      <c r="AJ10" s="231"/>
      <c r="AK10" s="158">
        <f>SUM(AA10+AD10+AG10)</f>
        <v>4</v>
      </c>
      <c r="AL10" s="158" t="s">
        <v>28</v>
      </c>
      <c r="AM10" s="158">
        <f>SUM(AC10+AF10+AI10)</f>
        <v>3</v>
      </c>
      <c r="AN10" s="158">
        <f>SUM(AK10-AM10)</f>
        <v>1</v>
      </c>
      <c r="AO10" s="160">
        <f>X10</f>
        <v>2</v>
      </c>
      <c r="AP10" s="161">
        <f>AJ10+AN10%</f>
        <v>0.01</v>
      </c>
      <c r="AQ10" s="162">
        <f>(AJ10*1000000)+(AN10*1000)+AK10</f>
        <v>1004</v>
      </c>
    </row>
    <row r="11" spans="1:43" x14ac:dyDescent="0.2">
      <c r="A11" s="139">
        <v>6</v>
      </c>
      <c r="B11" s="139" t="s">
        <v>9</v>
      </c>
      <c r="C11" s="226">
        <f t="shared" si="0"/>
        <v>0.8062499999999998</v>
      </c>
      <c r="D11" s="139"/>
      <c r="E11" s="230" t="str">
        <f>Z10</f>
        <v>SpVgg Pfreimd</v>
      </c>
      <c r="F11" s="230" t="s">
        <v>10</v>
      </c>
      <c r="G11" s="301" t="str">
        <f>Z9</f>
        <v>JFG Obere Vils 08</v>
      </c>
      <c r="H11" s="301"/>
      <c r="I11" s="301"/>
      <c r="J11" s="301"/>
      <c r="K11" s="301"/>
      <c r="L11" s="301"/>
      <c r="M11" s="301"/>
      <c r="N11" s="301"/>
      <c r="O11" s="229">
        <v>0</v>
      </c>
      <c r="P11" s="230"/>
      <c r="Q11" s="230">
        <v>2</v>
      </c>
      <c r="S11" s="126"/>
      <c r="T11" s="126"/>
      <c r="U11" s="122"/>
      <c r="V11" s="122"/>
      <c r="W11" s="122"/>
      <c r="X11" s="121"/>
      <c r="Y11" s="165" t="s">
        <v>32</v>
      </c>
      <c r="Z11" s="166"/>
      <c r="AA11" s="167" t="s">
        <v>24</v>
      </c>
      <c r="AB11" s="168"/>
      <c r="AC11" s="169"/>
      <c r="AD11" s="167" t="s">
        <v>25</v>
      </c>
      <c r="AE11" s="168"/>
      <c r="AF11" s="169"/>
      <c r="AG11" s="167" t="s">
        <v>26</v>
      </c>
      <c r="AH11" s="168"/>
      <c r="AI11" s="169"/>
      <c r="AJ11" s="171" t="s">
        <v>22</v>
      </c>
      <c r="AK11" s="167" t="s">
        <v>23</v>
      </c>
      <c r="AL11" s="168"/>
      <c r="AM11" s="169"/>
      <c r="AN11" s="171"/>
      <c r="AO11" s="171" t="s">
        <v>0</v>
      </c>
      <c r="AP11" s="172"/>
      <c r="AQ11" s="162"/>
    </row>
    <row r="12" spans="1:43" x14ac:dyDescent="0.2">
      <c r="A12" s="139">
        <v>8</v>
      </c>
      <c r="B12" s="139" t="s">
        <v>12</v>
      </c>
      <c r="C12" s="226">
        <f t="shared" si="0"/>
        <v>0.81388888888888866</v>
      </c>
      <c r="D12" s="139"/>
      <c r="E12" s="223" t="str">
        <f>Z15</f>
        <v>SV Obertraubling 2</v>
      </c>
      <c r="F12" s="223" t="s">
        <v>10</v>
      </c>
      <c r="G12" s="301" t="str">
        <f>Z14</f>
        <v>JFG 3 Schlösser-Eck</v>
      </c>
      <c r="H12" s="301"/>
      <c r="I12" s="301"/>
      <c r="J12" s="301"/>
      <c r="K12" s="301"/>
      <c r="L12" s="301"/>
      <c r="M12" s="301"/>
      <c r="N12" s="301"/>
      <c r="O12" s="227">
        <v>1</v>
      </c>
      <c r="P12" s="223" t="s">
        <v>28</v>
      </c>
      <c r="Q12" s="223">
        <v>3</v>
      </c>
      <c r="S12" s="126"/>
      <c r="T12" s="126"/>
      <c r="U12" s="122"/>
      <c r="V12" s="122"/>
      <c r="W12" s="122" t="str">
        <f>IF(AO12=0,"4",IF(AO12=1,"3",IF(AO12=2,"2",IF(AO12=3,"1",0))))</f>
        <v>2</v>
      </c>
      <c r="X12" s="121">
        <f>IF(AQ12&gt;AQ13,1,0)+IF(AQ12&gt;AQ14,1,0)+IF(AQ12&gt;AQ15,1,0)</f>
        <v>2</v>
      </c>
      <c r="Y12" s="173" t="s">
        <v>27</v>
      </c>
      <c r="Z12" s="174" t="s">
        <v>87</v>
      </c>
      <c r="AA12" s="175">
        <f>O6</f>
        <v>1</v>
      </c>
      <c r="AB12" s="175" t="s">
        <v>28</v>
      </c>
      <c r="AC12" s="175">
        <f>Q6</f>
        <v>0</v>
      </c>
      <c r="AD12" s="175">
        <f>Q10</f>
        <v>1</v>
      </c>
      <c r="AE12" s="175" t="s">
        <v>28</v>
      </c>
      <c r="AF12" s="175">
        <f>O10</f>
        <v>1</v>
      </c>
      <c r="AG12" s="175">
        <f>Q14</f>
        <v>0</v>
      </c>
      <c r="AH12" s="175" t="s">
        <v>28</v>
      </c>
      <c r="AI12" s="175">
        <f>O14</f>
        <v>2</v>
      </c>
      <c r="AJ12" s="232"/>
      <c r="AK12" s="175">
        <f>SUM(AA12+AD12+AG12)</f>
        <v>2</v>
      </c>
      <c r="AL12" s="175"/>
      <c r="AM12" s="175">
        <f>SUM(AC12+AF12+AI12)</f>
        <v>3</v>
      </c>
      <c r="AN12" s="175">
        <f>SUM(AK12-AM12)</f>
        <v>-1</v>
      </c>
      <c r="AO12" s="177">
        <f>X12</f>
        <v>2</v>
      </c>
      <c r="AP12" s="178">
        <f>AJ12+AN12%</f>
        <v>-0.01</v>
      </c>
      <c r="AQ12" s="162">
        <f>AJ12*1000000+AN12*1000+AK12</f>
        <v>-998</v>
      </c>
    </row>
    <row r="13" spans="1:43" x14ac:dyDescent="0.2">
      <c r="A13" s="139">
        <v>9</v>
      </c>
      <c r="B13" s="139" t="s">
        <v>9</v>
      </c>
      <c r="C13" s="226">
        <f t="shared" si="0"/>
        <v>0.82152777777777752</v>
      </c>
      <c r="D13" s="139"/>
      <c r="E13" s="230" t="str">
        <f>Z9</f>
        <v>JFG Obere Vils 08</v>
      </c>
      <c r="F13" s="230" t="s">
        <v>10</v>
      </c>
      <c r="G13" s="301" t="str">
        <f>Z7</f>
        <v>JFG Naab-Regen B1</v>
      </c>
      <c r="H13" s="301"/>
      <c r="I13" s="301"/>
      <c r="J13" s="301"/>
      <c r="K13" s="301"/>
      <c r="L13" s="301"/>
      <c r="M13" s="301"/>
      <c r="N13" s="301"/>
      <c r="O13" s="229">
        <v>1</v>
      </c>
      <c r="P13" s="230" t="s">
        <v>28</v>
      </c>
      <c r="Q13" s="230">
        <v>2</v>
      </c>
      <c r="S13" s="126"/>
      <c r="T13" s="126"/>
      <c r="U13" s="122"/>
      <c r="V13" s="122"/>
      <c r="W13" s="122" t="str">
        <f>IF(AO13=0,"4",IF(AO13=1,"3",IF(AO13=2,"2",IF(AO13=3,"1",0))))</f>
        <v>3</v>
      </c>
      <c r="X13" s="121">
        <f>IF(AQ13&gt;AQ12,1,0)+IF(AQ13&gt;AQ14,1,0)+IF(AQ13&gt;AQ15,1,0)</f>
        <v>1</v>
      </c>
      <c r="Y13" s="173" t="s">
        <v>29</v>
      </c>
      <c r="Z13" s="174" t="s">
        <v>88</v>
      </c>
      <c r="AA13" s="175">
        <f>Q8</f>
        <v>0</v>
      </c>
      <c r="AB13" s="175" t="s">
        <v>28</v>
      </c>
      <c r="AC13" s="175">
        <f>O8</f>
        <v>2</v>
      </c>
      <c r="AD13" s="175">
        <f>O10</f>
        <v>1</v>
      </c>
      <c r="AE13" s="175" t="s">
        <v>28</v>
      </c>
      <c r="AF13" s="175">
        <f>Q10</f>
        <v>1</v>
      </c>
      <c r="AG13" s="175">
        <f>O16</f>
        <v>0</v>
      </c>
      <c r="AH13" s="175" t="s">
        <v>28</v>
      </c>
      <c r="AI13" s="175">
        <f>Q16</f>
        <v>0</v>
      </c>
      <c r="AJ13" s="232"/>
      <c r="AK13" s="175">
        <f>SUM(AA13+AD13+AG13)</f>
        <v>1</v>
      </c>
      <c r="AL13" s="175" t="s">
        <v>28</v>
      </c>
      <c r="AM13" s="175">
        <f>SUM(AC13+AF13+AI13)</f>
        <v>3</v>
      </c>
      <c r="AN13" s="175">
        <f>SUM(AK13-AM13)</f>
        <v>-2</v>
      </c>
      <c r="AO13" s="177">
        <f>X13</f>
        <v>1</v>
      </c>
      <c r="AP13" s="178">
        <f>AJ13+AN13%</f>
        <v>-0.02</v>
      </c>
      <c r="AQ13" s="162">
        <f>AJ13*1000000+AN13*1000+AK13</f>
        <v>-1999</v>
      </c>
    </row>
    <row r="14" spans="1:43" x14ac:dyDescent="0.2">
      <c r="A14" s="139">
        <v>11</v>
      </c>
      <c r="B14" s="139" t="s">
        <v>12</v>
      </c>
      <c r="C14" s="226">
        <f t="shared" si="0"/>
        <v>0.82916666666666639</v>
      </c>
      <c r="D14" s="139"/>
      <c r="E14" s="223" t="str">
        <f>Z14</f>
        <v>JFG 3 Schlösser-Eck</v>
      </c>
      <c r="F14" s="223" t="s">
        <v>10</v>
      </c>
      <c r="G14" s="301" t="str">
        <f>Z12</f>
        <v>JFG Oberpfälzer Seenland</v>
      </c>
      <c r="H14" s="301"/>
      <c r="I14" s="301"/>
      <c r="J14" s="301"/>
      <c r="K14" s="301"/>
      <c r="L14" s="301"/>
      <c r="M14" s="301"/>
      <c r="N14" s="301"/>
      <c r="O14" s="227">
        <v>2</v>
      </c>
      <c r="P14" s="223" t="s">
        <v>28</v>
      </c>
      <c r="Q14" s="223">
        <v>0</v>
      </c>
      <c r="S14" s="126"/>
      <c r="T14" s="126"/>
      <c r="U14" s="122"/>
      <c r="V14" s="122"/>
      <c r="W14" s="122" t="str">
        <f>IF(AO14=0,"4",IF(AO14=1,"3",IF(AO14=2,"2",IF(AO14=3,"1",0))))</f>
        <v>1</v>
      </c>
      <c r="X14" s="121">
        <f>IF(AQ14&gt;AQ12,1,0)+IF(AQ14&gt;AQ13,1,0)+IF(AQ14&gt;AQ15,1,0)</f>
        <v>3</v>
      </c>
      <c r="Y14" s="173" t="s">
        <v>30</v>
      </c>
      <c r="Z14" s="174" t="s">
        <v>89</v>
      </c>
      <c r="AA14" s="175">
        <f>O8</f>
        <v>2</v>
      </c>
      <c r="AB14" s="175" t="s">
        <v>28</v>
      </c>
      <c r="AC14" s="175">
        <f>Q8</f>
        <v>0</v>
      </c>
      <c r="AD14" s="175">
        <f>Q12</f>
        <v>3</v>
      </c>
      <c r="AE14" s="175" t="s">
        <v>28</v>
      </c>
      <c r="AF14" s="175">
        <f>O12</f>
        <v>1</v>
      </c>
      <c r="AG14" s="175">
        <f>O14</f>
        <v>2</v>
      </c>
      <c r="AH14" s="175" t="s">
        <v>28</v>
      </c>
      <c r="AI14" s="175">
        <f>Q14</f>
        <v>0</v>
      </c>
      <c r="AJ14" s="232"/>
      <c r="AK14" s="175">
        <f>SUM(AA14+AD14+AG14)</f>
        <v>7</v>
      </c>
      <c r="AL14" s="175" t="s">
        <v>28</v>
      </c>
      <c r="AM14" s="175">
        <f>SUM(AC14+AF14+AI14)</f>
        <v>1</v>
      </c>
      <c r="AN14" s="175">
        <f>SUM(AK14-AM14)</f>
        <v>6</v>
      </c>
      <c r="AO14" s="177">
        <f>X14</f>
        <v>3</v>
      </c>
      <c r="AP14" s="178">
        <f>AJ14+AN14%</f>
        <v>0.06</v>
      </c>
      <c r="AQ14" s="162">
        <f>AJ14*1000000+AN14*1000+AK14</f>
        <v>6007</v>
      </c>
    </row>
    <row r="15" spans="1:43" x14ac:dyDescent="0.2">
      <c r="A15" s="139">
        <v>10</v>
      </c>
      <c r="B15" s="139" t="s">
        <v>9</v>
      </c>
      <c r="C15" s="226">
        <f t="shared" si="0"/>
        <v>0.83680555555555525</v>
      </c>
      <c r="D15" s="139"/>
      <c r="E15" s="230" t="str">
        <f>Z8</f>
        <v>JFG Kickers Labertal</v>
      </c>
      <c r="F15" s="230" t="s">
        <v>10</v>
      </c>
      <c r="G15" s="301" t="str">
        <f>Z10</f>
        <v>SpVgg Pfreimd</v>
      </c>
      <c r="H15" s="301"/>
      <c r="I15" s="301"/>
      <c r="J15" s="301"/>
      <c r="K15" s="301"/>
      <c r="L15" s="301"/>
      <c r="M15" s="301"/>
      <c r="N15" s="301"/>
      <c r="O15" s="229">
        <v>1</v>
      </c>
      <c r="P15" s="230" t="s">
        <v>28</v>
      </c>
      <c r="Q15" s="230">
        <v>3</v>
      </c>
      <c r="S15" s="126"/>
      <c r="T15" s="126"/>
      <c r="U15" s="122"/>
      <c r="V15" s="122"/>
      <c r="W15" s="122" t="str">
        <f>IF(AO15=0,"4",IF(AO15=1,"3",IF(AO15=2,"2",IF(AO15=3,"1",0))))</f>
        <v>4</v>
      </c>
      <c r="X15" s="121">
        <f>IF(AQ15&gt;AQ13,1,0)+IF(AQ15&gt;AQ14,1,0)+IF(AQ15&gt;AQ12,1,0)</f>
        <v>0</v>
      </c>
      <c r="Y15" s="173" t="s">
        <v>31</v>
      </c>
      <c r="Z15" s="174" t="s">
        <v>90</v>
      </c>
      <c r="AA15" s="175">
        <f>Q6</f>
        <v>0</v>
      </c>
      <c r="AB15" s="175" t="s">
        <v>28</v>
      </c>
      <c r="AC15" s="175">
        <f>O6</f>
        <v>1</v>
      </c>
      <c r="AD15" s="175">
        <f>O12</f>
        <v>1</v>
      </c>
      <c r="AE15" s="175" t="s">
        <v>28</v>
      </c>
      <c r="AF15" s="175">
        <f>Q12</f>
        <v>3</v>
      </c>
      <c r="AG15" s="175">
        <f>Q16</f>
        <v>0</v>
      </c>
      <c r="AH15" s="175" t="s">
        <v>28</v>
      </c>
      <c r="AI15" s="175">
        <f>O16</f>
        <v>0</v>
      </c>
      <c r="AJ15" s="232"/>
      <c r="AK15" s="175">
        <f>SUM(AA15+AD15+AG15)</f>
        <v>1</v>
      </c>
      <c r="AL15" s="175" t="s">
        <v>28</v>
      </c>
      <c r="AM15" s="175">
        <f>SUM(AC15+AF15+AI15)</f>
        <v>4</v>
      </c>
      <c r="AN15" s="175">
        <f>SUM(AK15-AM15)</f>
        <v>-3</v>
      </c>
      <c r="AO15" s="177">
        <f>X15</f>
        <v>0</v>
      </c>
      <c r="AP15" s="178">
        <f>AJ15+AN15%</f>
        <v>-0.03</v>
      </c>
      <c r="AQ15" s="162">
        <f>AJ15*1000000+AN15*1000+AK15</f>
        <v>-2999</v>
      </c>
    </row>
    <row r="16" spans="1:43" x14ac:dyDescent="0.2">
      <c r="A16" s="139">
        <v>12</v>
      </c>
      <c r="B16" s="139" t="s">
        <v>12</v>
      </c>
      <c r="C16" s="226">
        <f t="shared" si="0"/>
        <v>0.84444444444444411</v>
      </c>
      <c r="D16" s="139"/>
      <c r="E16" s="223" t="str">
        <f>Z13</f>
        <v>FSV Prüfening</v>
      </c>
      <c r="F16" s="223" t="s">
        <v>10</v>
      </c>
      <c r="G16" s="301" t="str">
        <f>Z15</f>
        <v>SV Obertraubling 2</v>
      </c>
      <c r="H16" s="301"/>
      <c r="I16" s="301"/>
      <c r="J16" s="301"/>
      <c r="K16" s="301"/>
      <c r="L16" s="301"/>
      <c r="M16" s="301"/>
      <c r="N16" s="301"/>
      <c r="O16" s="227">
        <v>0</v>
      </c>
      <c r="P16" s="223" t="s">
        <v>28</v>
      </c>
      <c r="Q16" s="223">
        <v>0</v>
      </c>
      <c r="S16" s="126"/>
      <c r="T16" s="126"/>
      <c r="U16" s="122"/>
      <c r="V16" s="122"/>
    </row>
    <row r="17" spans="1:25" x14ac:dyDescent="0.2">
      <c r="C17" s="226">
        <f t="shared" si="0"/>
        <v>0.85208333333333297</v>
      </c>
      <c r="S17" s="126"/>
      <c r="T17" s="126"/>
      <c r="U17" s="122"/>
      <c r="V17" s="122"/>
    </row>
    <row r="18" spans="1:25" x14ac:dyDescent="0.2">
      <c r="A18" s="122"/>
      <c r="B18" s="122"/>
      <c r="C18" s="226"/>
      <c r="D18" s="122"/>
      <c r="E18" s="135"/>
      <c r="F18" s="180"/>
      <c r="G18" s="137"/>
      <c r="H18" s="137"/>
      <c r="I18" s="126"/>
      <c r="J18" s="126"/>
      <c r="K18" s="126"/>
      <c r="L18" s="126"/>
      <c r="M18" s="126"/>
      <c r="N18" s="126"/>
      <c r="O18" s="137"/>
      <c r="P18" s="126"/>
      <c r="Q18" s="137"/>
      <c r="R18" s="126"/>
      <c r="S18" s="126"/>
      <c r="T18" s="126"/>
      <c r="U18" s="122"/>
      <c r="V18" s="122"/>
    </row>
    <row r="19" spans="1:25" x14ac:dyDescent="0.2">
      <c r="A19" s="122"/>
      <c r="B19" s="122"/>
      <c r="C19" s="233"/>
      <c r="D19" s="139"/>
      <c r="E19" s="182" t="str">
        <f>Y6</f>
        <v>Gruppe A</v>
      </c>
      <c r="F19" s="137"/>
      <c r="G19" s="183"/>
      <c r="H19" s="300" t="str">
        <f>Y11</f>
        <v>Gruppe B</v>
      </c>
      <c r="I19" s="300"/>
      <c r="J19" s="300"/>
      <c r="K19" s="300"/>
      <c r="L19" s="300"/>
      <c r="M19" s="300"/>
      <c r="N19" s="300"/>
      <c r="O19" s="184"/>
      <c r="P19" s="137"/>
      <c r="Q19" s="137"/>
      <c r="R19" s="137"/>
      <c r="S19" s="137"/>
      <c r="T19" s="185"/>
      <c r="U19" s="186"/>
      <c r="V19" s="122"/>
    </row>
    <row r="20" spans="1:25" x14ac:dyDescent="0.2">
      <c r="A20" s="122"/>
      <c r="B20" s="122"/>
      <c r="C20" s="233"/>
      <c r="D20" s="139">
        <v>1</v>
      </c>
      <c r="E20" s="188" t="s">
        <v>86</v>
      </c>
      <c r="F20" s="137"/>
      <c r="G20" s="183">
        <v>1</v>
      </c>
      <c r="H20" s="303" t="s">
        <v>91</v>
      </c>
      <c r="I20" s="303"/>
      <c r="J20" s="303"/>
      <c r="K20" s="303"/>
      <c r="L20" s="303"/>
      <c r="M20" s="303"/>
      <c r="N20" s="303"/>
      <c r="O20" s="184"/>
      <c r="P20" s="137"/>
      <c r="Q20" s="137"/>
      <c r="R20" s="137"/>
      <c r="S20" s="137"/>
      <c r="T20" s="234"/>
      <c r="U20" s="234"/>
      <c r="V20" s="234"/>
    </row>
    <row r="21" spans="1:25" x14ac:dyDescent="0.2">
      <c r="A21" s="122"/>
      <c r="B21" s="122"/>
      <c r="C21" s="233"/>
      <c r="D21" s="139">
        <v>2</v>
      </c>
      <c r="E21" s="188" t="s">
        <v>92</v>
      </c>
      <c r="F21" s="137"/>
      <c r="G21" s="183">
        <v>2</v>
      </c>
      <c r="H21" s="303" t="s">
        <v>87</v>
      </c>
      <c r="I21" s="303"/>
      <c r="J21" s="303"/>
      <c r="K21" s="303"/>
      <c r="L21" s="303"/>
      <c r="M21" s="303"/>
      <c r="N21" s="303"/>
      <c r="O21" s="184"/>
      <c r="P21" s="137"/>
      <c r="Q21" s="137"/>
      <c r="R21" s="137"/>
      <c r="S21" s="137"/>
      <c r="T21" s="234"/>
      <c r="U21" s="234"/>
      <c r="V21" s="234"/>
    </row>
    <row r="22" spans="1:25" x14ac:dyDescent="0.2">
      <c r="A22" s="122"/>
      <c r="B22" s="122"/>
      <c r="C22" s="233"/>
      <c r="D22" s="139">
        <v>3</v>
      </c>
      <c r="E22" s="191" t="s">
        <v>93</v>
      </c>
      <c r="F22" s="137"/>
      <c r="G22" s="183">
        <v>3</v>
      </c>
      <c r="H22" s="304" t="s">
        <v>88</v>
      </c>
      <c r="I22" s="304"/>
      <c r="J22" s="304"/>
      <c r="K22" s="304"/>
      <c r="L22" s="304"/>
      <c r="M22" s="304"/>
      <c r="N22" s="304"/>
      <c r="O22" s="184"/>
      <c r="P22" s="137"/>
      <c r="Q22" s="137"/>
      <c r="R22" s="137"/>
      <c r="S22" s="137"/>
      <c r="T22" s="234"/>
      <c r="U22" s="234"/>
      <c r="V22" s="234"/>
    </row>
    <row r="23" spans="1:25" x14ac:dyDescent="0.2">
      <c r="A23" s="122"/>
      <c r="B23" s="122"/>
      <c r="C23" s="233"/>
      <c r="D23" s="192">
        <v>4</v>
      </c>
      <c r="E23" s="193" t="str">
        <f>VLOOKUP(0,X7:Z10,3,0)</f>
        <v>JFG Kickers Labertal</v>
      </c>
      <c r="F23" s="137"/>
      <c r="G23" s="194">
        <v>4</v>
      </c>
      <c r="H23" s="305" t="str">
        <f>VLOOKUP(0,X12:Z15,3,0)</f>
        <v>SV Obertraubling 2</v>
      </c>
      <c r="I23" s="305"/>
      <c r="J23" s="305"/>
      <c r="K23" s="305"/>
      <c r="L23" s="305"/>
      <c r="M23" s="305"/>
      <c r="N23" s="305"/>
      <c r="O23" s="184"/>
      <c r="P23" s="137"/>
      <c r="Q23" s="137"/>
      <c r="R23" s="137"/>
      <c r="S23" s="137"/>
      <c r="T23" s="234"/>
      <c r="U23" s="234"/>
      <c r="V23" s="234"/>
    </row>
    <row r="24" spans="1:25" x14ac:dyDescent="0.2">
      <c r="A24" s="289" t="s">
        <v>70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307"/>
      <c r="S24" s="163" t="s">
        <v>62</v>
      </c>
      <c r="T24" s="163"/>
      <c r="U24" s="163"/>
      <c r="V24" s="314"/>
      <c r="W24" s="200" t="s">
        <v>63</v>
      </c>
      <c r="X24" s="200"/>
      <c r="Y24" s="200"/>
    </row>
    <row r="25" spans="1:25" x14ac:dyDescent="0.2">
      <c r="A25" s="200"/>
      <c r="B25" s="200"/>
      <c r="C25" s="236"/>
      <c r="D25" s="139"/>
      <c r="E25" s="237" t="s">
        <v>64</v>
      </c>
      <c r="F25" s="237"/>
      <c r="G25" s="315" t="s">
        <v>65</v>
      </c>
      <c r="H25" s="315"/>
      <c r="I25" s="315"/>
      <c r="J25" s="315"/>
      <c r="K25" s="315"/>
      <c r="L25" s="315"/>
      <c r="M25" s="315"/>
      <c r="N25" s="315"/>
      <c r="O25" s="238"/>
      <c r="P25" s="238"/>
      <c r="Q25" s="238"/>
      <c r="R25" s="307"/>
      <c r="S25" s="183"/>
      <c r="T25" s="183"/>
      <c r="U25" s="183"/>
      <c r="V25" s="314"/>
      <c r="W25" s="235"/>
      <c r="X25" s="235"/>
      <c r="Y25" s="235"/>
    </row>
    <row r="26" spans="1:25" x14ac:dyDescent="0.2">
      <c r="A26" s="139">
        <v>13</v>
      </c>
      <c r="B26" s="139" t="s">
        <v>66</v>
      </c>
      <c r="C26" s="226">
        <f>C17+$S$5</f>
        <v>0.85555555555555518</v>
      </c>
      <c r="D26" s="139"/>
      <c r="E26" s="238" t="s">
        <v>86</v>
      </c>
      <c r="F26" s="238" t="s">
        <v>10</v>
      </c>
      <c r="G26" s="316" t="s">
        <v>87</v>
      </c>
      <c r="H26" s="316"/>
      <c r="I26" s="316"/>
      <c r="J26" s="316"/>
      <c r="K26" s="316"/>
      <c r="L26" s="316"/>
      <c r="M26" s="316"/>
      <c r="N26" s="316"/>
      <c r="O26" s="238">
        <v>4</v>
      </c>
      <c r="P26" s="238" t="s">
        <v>28</v>
      </c>
      <c r="Q26" s="238">
        <v>3</v>
      </c>
      <c r="R26" s="307"/>
      <c r="S26" s="183">
        <v>0</v>
      </c>
      <c r="T26" s="125" t="s">
        <v>28</v>
      </c>
      <c r="U26" s="125">
        <v>0</v>
      </c>
      <c r="V26" s="314"/>
      <c r="W26" s="235">
        <v>4</v>
      </c>
      <c r="X26" s="235" t="s">
        <v>28</v>
      </c>
      <c r="Y26" s="235">
        <v>3</v>
      </c>
    </row>
    <row r="27" spans="1:25" x14ac:dyDescent="0.2">
      <c r="A27" s="139"/>
      <c r="B27" s="139"/>
      <c r="C27" s="226"/>
      <c r="D27" s="139"/>
      <c r="E27" s="198" t="s">
        <v>68</v>
      </c>
      <c r="F27" s="209"/>
      <c r="G27" s="315" t="s">
        <v>69</v>
      </c>
      <c r="H27" s="315"/>
      <c r="I27" s="315"/>
      <c r="J27" s="315"/>
      <c r="K27" s="315"/>
      <c r="L27" s="315"/>
      <c r="M27" s="315"/>
      <c r="N27" s="315"/>
      <c r="O27" s="240"/>
      <c r="P27" s="240"/>
      <c r="Q27" s="240"/>
      <c r="R27" s="307"/>
      <c r="S27" s="183"/>
      <c r="T27" s="125"/>
      <c r="U27" s="125"/>
      <c r="V27" s="314"/>
      <c r="W27" s="235"/>
      <c r="X27" s="235"/>
      <c r="Y27" s="235"/>
    </row>
    <row r="28" spans="1:25" x14ac:dyDescent="0.2">
      <c r="A28" s="139">
        <v>15</v>
      </c>
      <c r="B28" s="139" t="s">
        <v>67</v>
      </c>
      <c r="C28" s="226">
        <f>C26+$S$4</f>
        <v>0.86319444444444404</v>
      </c>
      <c r="D28" s="139"/>
      <c r="E28" s="238" t="s">
        <v>91</v>
      </c>
      <c r="F28" s="238" t="s">
        <v>10</v>
      </c>
      <c r="G28" s="316" t="s">
        <v>94</v>
      </c>
      <c r="H28" s="316"/>
      <c r="I28" s="316"/>
      <c r="J28" s="316"/>
      <c r="K28" s="316"/>
      <c r="L28" s="316"/>
      <c r="M28" s="316"/>
      <c r="N28" s="316"/>
      <c r="O28" s="238">
        <v>1</v>
      </c>
      <c r="P28" s="238" t="s">
        <v>28</v>
      </c>
      <c r="Q28" s="238">
        <v>2</v>
      </c>
      <c r="R28" s="307"/>
      <c r="S28" s="183"/>
      <c r="T28" s="125"/>
      <c r="U28" s="125"/>
      <c r="V28" s="314"/>
      <c r="W28" s="235"/>
      <c r="X28" s="235"/>
      <c r="Y28" s="235"/>
    </row>
    <row r="29" spans="1:25" x14ac:dyDescent="0.2">
      <c r="A29" s="139"/>
      <c r="B29" s="139"/>
      <c r="C29" s="226"/>
      <c r="D29" s="139"/>
      <c r="E29" s="198" t="s">
        <v>71</v>
      </c>
      <c r="F29" s="209"/>
      <c r="G29" s="315" t="s">
        <v>72</v>
      </c>
      <c r="H29" s="315"/>
      <c r="I29" s="315"/>
      <c r="J29" s="315"/>
      <c r="K29" s="315"/>
      <c r="L29" s="315"/>
      <c r="M29" s="315"/>
      <c r="N29" s="315"/>
      <c r="O29" s="240"/>
      <c r="P29" s="240"/>
      <c r="Q29" s="240"/>
      <c r="R29" s="307"/>
      <c r="S29" s="183"/>
      <c r="T29" s="183"/>
      <c r="U29" s="125"/>
      <c r="V29" s="314"/>
      <c r="W29" s="235"/>
      <c r="X29" s="235"/>
      <c r="Y29" s="235"/>
    </row>
    <row r="30" spans="1:25" x14ac:dyDescent="0.2">
      <c r="A30" s="139">
        <v>14</v>
      </c>
      <c r="B30" s="139" t="s">
        <v>66</v>
      </c>
      <c r="C30" s="226">
        <f>C28+$S$4</f>
        <v>0.8708333333333329</v>
      </c>
      <c r="D30" s="139"/>
      <c r="E30" s="238" t="str">
        <f>E23</f>
        <v>JFG Kickers Labertal</v>
      </c>
      <c r="F30" s="238" t="s">
        <v>10</v>
      </c>
      <c r="G30" s="317" t="str">
        <f>H23</f>
        <v>SV Obertraubling 2</v>
      </c>
      <c r="H30" s="317"/>
      <c r="I30" s="317"/>
      <c r="J30" s="317"/>
      <c r="K30" s="317"/>
      <c r="L30" s="317"/>
      <c r="M30" s="317"/>
      <c r="N30" s="317"/>
      <c r="O30" s="238">
        <v>1</v>
      </c>
      <c r="P30" s="238" t="s">
        <v>28</v>
      </c>
      <c r="Q30" s="238">
        <v>3</v>
      </c>
      <c r="R30" s="307"/>
      <c r="S30" s="183"/>
      <c r="T30" s="125" t="s">
        <v>28</v>
      </c>
      <c r="U30" s="125"/>
      <c r="V30" s="314"/>
      <c r="W30" s="235"/>
      <c r="X30" s="235" t="s">
        <v>28</v>
      </c>
      <c r="Y30" s="235"/>
    </row>
    <row r="31" spans="1:25" x14ac:dyDescent="0.2">
      <c r="A31" s="139"/>
      <c r="B31" s="139"/>
      <c r="C31" s="226"/>
      <c r="D31" s="139"/>
      <c r="E31" s="198" t="s">
        <v>73</v>
      </c>
      <c r="F31" s="209"/>
      <c r="G31" s="315" t="s">
        <v>74</v>
      </c>
      <c r="H31" s="315"/>
      <c r="I31" s="315"/>
      <c r="J31" s="315"/>
      <c r="K31" s="315"/>
      <c r="L31" s="315"/>
      <c r="M31" s="315"/>
      <c r="N31" s="315"/>
      <c r="O31" s="240"/>
      <c r="P31" s="240"/>
      <c r="Q31" s="240"/>
      <c r="R31" s="307"/>
      <c r="S31" s="183"/>
      <c r="T31" s="183"/>
      <c r="U31" s="125"/>
      <c r="V31" s="314"/>
      <c r="W31" s="235"/>
      <c r="X31" s="235"/>
      <c r="Y31" s="235"/>
    </row>
    <row r="32" spans="1:25" x14ac:dyDescent="0.2">
      <c r="A32" s="139">
        <v>16</v>
      </c>
      <c r="B32" s="139" t="s">
        <v>75</v>
      </c>
      <c r="C32" s="226">
        <f>C30+$S$4</f>
        <v>0.87847222222222177</v>
      </c>
      <c r="D32" s="139"/>
      <c r="E32" s="238" t="s">
        <v>93</v>
      </c>
      <c r="F32" s="238" t="s">
        <v>10</v>
      </c>
      <c r="G32" s="317" t="s">
        <v>88</v>
      </c>
      <c r="H32" s="317"/>
      <c r="I32" s="317"/>
      <c r="J32" s="317"/>
      <c r="K32" s="317"/>
      <c r="L32" s="317"/>
      <c r="M32" s="317"/>
      <c r="N32" s="317"/>
      <c r="O32" s="238">
        <v>2</v>
      </c>
      <c r="P32" s="238" t="s">
        <v>28</v>
      </c>
      <c r="Q32" s="238">
        <v>1</v>
      </c>
      <c r="R32" s="307"/>
      <c r="S32" s="183"/>
      <c r="T32" s="125" t="s">
        <v>28</v>
      </c>
      <c r="U32" s="125"/>
      <c r="V32" s="314"/>
      <c r="W32" s="235"/>
      <c r="X32" s="235" t="s">
        <v>28</v>
      </c>
      <c r="Y32" s="235"/>
    </row>
    <row r="33" spans="1:25" x14ac:dyDescent="0.2">
      <c r="A33" s="139"/>
      <c r="B33" s="139"/>
      <c r="C33" s="226"/>
      <c r="D33" s="139"/>
      <c r="E33" s="198" t="s">
        <v>76</v>
      </c>
      <c r="F33" s="209"/>
      <c r="G33" s="315" t="s">
        <v>77</v>
      </c>
      <c r="H33" s="315"/>
      <c r="I33" s="315"/>
      <c r="J33" s="315"/>
      <c r="K33" s="315"/>
      <c r="L33" s="315"/>
      <c r="M33" s="315"/>
      <c r="N33" s="315"/>
      <c r="O33" s="240"/>
      <c r="P33" s="240"/>
      <c r="Q33" s="240"/>
      <c r="R33" s="307"/>
      <c r="S33" s="183"/>
      <c r="T33" s="183"/>
      <c r="U33" s="125"/>
      <c r="V33" s="314"/>
      <c r="W33" s="235"/>
      <c r="X33" s="235"/>
      <c r="Y33" s="235"/>
    </row>
    <row r="34" spans="1:25" x14ac:dyDescent="0.2">
      <c r="A34" s="139">
        <v>17</v>
      </c>
      <c r="B34" s="139" t="s">
        <v>78</v>
      </c>
      <c r="C34" s="226">
        <f>C32+$S$4</f>
        <v>0.88611111111111063</v>
      </c>
      <c r="D34" s="139"/>
      <c r="E34" s="241" t="str">
        <f>IF(O26+Q26=0,0,IF(Q26&gt;O26,E26,G26))</f>
        <v>JFG Oberpfälzer Seenland</v>
      </c>
      <c r="F34" s="238" t="s">
        <v>10</v>
      </c>
      <c r="G34" s="316" t="str">
        <f>IF(O28+Q28=0,0,IF(O28&lt;Q28,E28,G28))</f>
        <v>JFG 3 Schlösser Eck</v>
      </c>
      <c r="H34" s="316"/>
      <c r="I34" s="316"/>
      <c r="J34" s="316"/>
      <c r="K34" s="316"/>
      <c r="L34" s="316"/>
      <c r="M34" s="316"/>
      <c r="N34" s="316"/>
      <c r="O34" s="238">
        <v>5</v>
      </c>
      <c r="P34" s="238" t="s">
        <v>28</v>
      </c>
      <c r="Q34" s="238">
        <v>4</v>
      </c>
      <c r="R34" s="307"/>
      <c r="S34" s="183">
        <v>0</v>
      </c>
      <c r="T34" s="125" t="s">
        <v>28</v>
      </c>
      <c r="U34" s="125">
        <v>0</v>
      </c>
      <c r="V34" s="314"/>
      <c r="W34" s="235">
        <v>5</v>
      </c>
      <c r="X34" s="235" t="s">
        <v>28</v>
      </c>
      <c r="Y34" s="235">
        <v>4</v>
      </c>
    </row>
    <row r="35" spans="1:25" x14ac:dyDescent="0.2">
      <c r="A35" s="139"/>
      <c r="B35" s="139"/>
      <c r="C35" s="226"/>
      <c r="D35" s="139"/>
      <c r="E35" s="199" t="s">
        <v>79</v>
      </c>
      <c r="F35" s="209"/>
      <c r="G35" s="315" t="s">
        <v>80</v>
      </c>
      <c r="H35" s="315"/>
      <c r="I35" s="315"/>
      <c r="J35" s="315"/>
      <c r="K35" s="315"/>
      <c r="L35" s="315"/>
      <c r="M35" s="315"/>
      <c r="N35" s="315"/>
      <c r="O35" s="240"/>
      <c r="P35" s="240"/>
      <c r="Q35" s="240"/>
      <c r="R35" s="307"/>
      <c r="S35" s="183"/>
      <c r="T35" s="183"/>
      <c r="U35" s="125"/>
      <c r="V35" s="314"/>
      <c r="W35" s="235"/>
      <c r="X35" s="235"/>
      <c r="Y35" s="235"/>
    </row>
    <row r="36" spans="1:25" x14ac:dyDescent="0.2">
      <c r="A36" s="139">
        <v>18</v>
      </c>
      <c r="B36" s="139" t="s">
        <v>81</v>
      </c>
      <c r="C36" s="226">
        <f>C34+$S$4</f>
        <v>0.89374999999999949</v>
      </c>
      <c r="D36" s="139"/>
      <c r="E36" s="241" t="str">
        <f>IF(O26+Q26=0,0,IF(O26&gt;Q26,E26,G26))</f>
        <v>SpVgg Pfreimd</v>
      </c>
      <c r="F36" s="238" t="s">
        <v>10</v>
      </c>
      <c r="G36" s="316" t="str">
        <f>IF(O28+Q28=0,0,IF(O28&gt;Q28,E28,G28))</f>
        <v>JFG Naab Regen</v>
      </c>
      <c r="H36" s="316"/>
      <c r="I36" s="316"/>
      <c r="J36" s="316"/>
      <c r="K36" s="316"/>
      <c r="L36" s="316"/>
      <c r="M36" s="316"/>
      <c r="N36" s="316"/>
      <c r="O36" s="238">
        <v>3</v>
      </c>
      <c r="P36" s="238" t="s">
        <v>28</v>
      </c>
      <c r="Q36" s="238">
        <v>2</v>
      </c>
      <c r="R36" s="307"/>
      <c r="S36" s="183">
        <v>0</v>
      </c>
      <c r="T36" s="125" t="s">
        <v>28</v>
      </c>
      <c r="U36" s="125">
        <v>0</v>
      </c>
      <c r="V36" s="314"/>
      <c r="W36" s="235">
        <v>3</v>
      </c>
      <c r="X36" s="235" t="s">
        <v>28</v>
      </c>
      <c r="Y36" s="235">
        <v>2</v>
      </c>
    </row>
    <row r="37" spans="1:25" x14ac:dyDescent="0.2">
      <c r="A37" s="122"/>
      <c r="B37" s="122"/>
      <c r="C37" s="226">
        <f>C36+S4</f>
        <v>0.90138888888888835</v>
      </c>
      <c r="D37" s="122"/>
      <c r="E37" s="122" t="s">
        <v>95</v>
      </c>
      <c r="F37" s="136"/>
      <c r="G37" s="137"/>
      <c r="H37" s="137"/>
      <c r="I37" s="126"/>
      <c r="J37" s="126"/>
      <c r="K37" s="126"/>
      <c r="L37" s="126"/>
      <c r="M37" s="126"/>
      <c r="N37" s="126"/>
      <c r="O37" s="137"/>
      <c r="P37" s="126"/>
      <c r="Q37" s="126"/>
      <c r="R37" s="126"/>
      <c r="S37" s="126"/>
      <c r="T37" s="126"/>
      <c r="U37" s="122"/>
      <c r="V37" s="122"/>
    </row>
    <row r="38" spans="1:25" x14ac:dyDescent="0.2">
      <c r="A38" s="122"/>
      <c r="B38" s="122"/>
      <c r="C38" s="233" t="s">
        <v>0</v>
      </c>
      <c r="D38" s="122">
        <v>8</v>
      </c>
      <c r="E38" s="216" t="str">
        <f>IF(O30+Q30=0,0,IF(O30&lt;Q30,E30,G30))</f>
        <v>JFG Kickers Labertal</v>
      </c>
      <c r="F38" s="136"/>
      <c r="G38" s="138"/>
      <c r="H38" s="217"/>
      <c r="I38" s="217"/>
      <c r="J38" s="217"/>
      <c r="K38" s="217"/>
      <c r="L38" s="217"/>
      <c r="M38" s="217"/>
      <c r="N38" s="217"/>
      <c r="O38" s="137"/>
      <c r="P38" s="126"/>
      <c r="Q38" s="126"/>
      <c r="R38" s="126"/>
      <c r="S38" s="126"/>
      <c r="T38" s="126"/>
      <c r="U38" s="122"/>
      <c r="V38" s="122"/>
    </row>
    <row r="39" spans="1:25" x14ac:dyDescent="0.2">
      <c r="A39" s="122"/>
      <c r="B39" s="122"/>
      <c r="C39" s="233" t="s">
        <v>0</v>
      </c>
      <c r="D39" s="122">
        <v>7</v>
      </c>
      <c r="E39" s="216" t="str">
        <f>IF(O30+Q30=0,0,IF(O30&gt;Q30,E30,G30))</f>
        <v>SV Obertraubling 2</v>
      </c>
      <c r="F39" s="242"/>
      <c r="G39" s="137"/>
      <c r="H39" s="137"/>
      <c r="I39" s="126"/>
      <c r="J39" s="126"/>
      <c r="K39" s="126"/>
      <c r="L39" s="126"/>
      <c r="M39" s="126"/>
      <c r="N39" s="126"/>
      <c r="O39" s="137"/>
      <c r="P39" s="126"/>
      <c r="Q39" s="126"/>
      <c r="R39" s="126"/>
      <c r="S39" s="126"/>
      <c r="T39" s="126"/>
      <c r="U39" s="122"/>
      <c r="V39" s="122"/>
    </row>
    <row r="40" spans="1:25" x14ac:dyDescent="0.2">
      <c r="A40" s="122"/>
      <c r="B40" s="122"/>
      <c r="C40" s="233" t="s">
        <v>0</v>
      </c>
      <c r="D40" s="122">
        <v>6</v>
      </c>
      <c r="E40" s="216" t="str">
        <f>IF(O32+Q32=0,0,IF(O32&lt;Q32,E32,G32))</f>
        <v>FSV Prüfening</v>
      </c>
      <c r="F40" s="242"/>
      <c r="G40" s="121"/>
      <c r="H40" s="137"/>
      <c r="I40" s="126"/>
      <c r="J40" s="126"/>
      <c r="K40" s="122"/>
      <c r="L40" s="122"/>
      <c r="M40" s="122"/>
      <c r="N40" s="122"/>
      <c r="O40" s="122"/>
      <c r="P40" s="122"/>
      <c r="Q40" s="122"/>
      <c r="R40" s="122"/>
      <c r="S40" s="126"/>
      <c r="T40" s="126"/>
      <c r="U40" s="122"/>
      <c r="V40" s="122"/>
    </row>
    <row r="41" spans="1:25" x14ac:dyDescent="0.2">
      <c r="A41" s="122"/>
      <c r="B41" s="122"/>
      <c r="C41" s="233" t="s">
        <v>0</v>
      </c>
      <c r="D41" s="122">
        <v>5</v>
      </c>
      <c r="E41" s="216" t="str">
        <f>IF(O32+Q32=0,0,IF(O32&gt;Q32,E32,G32))</f>
        <v>JFG Obere Vils</v>
      </c>
      <c r="F41" s="219"/>
      <c r="G41" s="137"/>
      <c r="H41" s="137"/>
      <c r="I41" s="126"/>
      <c r="J41" s="126"/>
      <c r="K41" s="126"/>
      <c r="L41" s="126"/>
      <c r="M41" s="126"/>
      <c r="N41" s="126"/>
      <c r="O41" s="137"/>
      <c r="P41" s="126"/>
      <c r="Q41" s="126"/>
      <c r="R41" s="126"/>
      <c r="S41" s="126"/>
      <c r="T41" s="126"/>
      <c r="U41" s="122"/>
      <c r="V41" s="122"/>
    </row>
    <row r="42" spans="1:25" x14ac:dyDescent="0.2">
      <c r="A42" s="122"/>
      <c r="B42" s="122"/>
      <c r="C42" s="233" t="s">
        <v>0</v>
      </c>
      <c r="D42" s="122">
        <v>4</v>
      </c>
      <c r="E42" s="219" t="str">
        <f>IF(O34+Q34=0,0,IF(O34&lt;Q34,E34,G34))</f>
        <v>JFG 3 Schlösser Eck</v>
      </c>
      <c r="G42" s="137"/>
      <c r="H42" s="137"/>
      <c r="I42" s="126"/>
      <c r="J42" s="126"/>
      <c r="K42" s="126"/>
      <c r="L42" s="126"/>
      <c r="M42" s="126"/>
      <c r="N42" s="126"/>
      <c r="O42" s="137"/>
      <c r="P42" s="126"/>
      <c r="Q42" s="126"/>
      <c r="R42" s="126"/>
      <c r="S42" s="126"/>
      <c r="T42" s="126"/>
      <c r="U42" s="122"/>
      <c r="V42" s="122"/>
    </row>
    <row r="43" spans="1:25" x14ac:dyDescent="0.2">
      <c r="A43" s="122"/>
      <c r="B43" s="122"/>
      <c r="C43" s="233" t="s">
        <v>0</v>
      </c>
      <c r="D43" s="122">
        <v>3</v>
      </c>
      <c r="E43" s="219" t="str">
        <f>IF(O34+Q34=0,0,IF(O34&gt;Q34,E34,G34))</f>
        <v>JFG Oberpfälzer Seenland</v>
      </c>
      <c r="F43" s="136"/>
      <c r="G43" s="137"/>
      <c r="H43" s="137"/>
      <c r="I43" s="126"/>
      <c r="J43" s="126"/>
      <c r="K43" s="126"/>
      <c r="L43" s="126"/>
      <c r="M43" s="126"/>
      <c r="N43" s="126"/>
      <c r="O43" s="137"/>
      <c r="P43" s="126"/>
      <c r="Q43" s="126"/>
      <c r="R43" s="126"/>
      <c r="S43" s="126"/>
      <c r="T43" s="126"/>
      <c r="U43" s="122"/>
      <c r="V43" s="122"/>
    </row>
    <row r="44" spans="1:25" x14ac:dyDescent="0.2">
      <c r="A44" s="122"/>
      <c r="B44" s="122"/>
      <c r="C44" s="233" t="s">
        <v>0</v>
      </c>
      <c r="D44" s="122">
        <v>2</v>
      </c>
      <c r="E44" s="219" t="str">
        <f>IF(O36+Q36=0,0,IF(O36&lt;Q36,E36,G36))</f>
        <v>JFG Naab Regen</v>
      </c>
      <c r="G44" s="137"/>
      <c r="H44" s="137"/>
      <c r="I44" s="126"/>
      <c r="J44" s="126"/>
      <c r="K44" s="126"/>
      <c r="L44" s="126"/>
      <c r="M44" s="126"/>
      <c r="N44" s="126"/>
      <c r="O44" s="137"/>
      <c r="P44" s="126"/>
      <c r="Q44" s="126"/>
      <c r="R44" s="126"/>
      <c r="S44" s="126"/>
      <c r="T44" s="126"/>
      <c r="U44" s="122"/>
      <c r="V44" s="122"/>
    </row>
    <row r="45" spans="1:25" x14ac:dyDescent="0.2">
      <c r="A45" s="122"/>
      <c r="B45" s="122"/>
      <c r="C45" s="233" t="s">
        <v>0</v>
      </c>
      <c r="D45" s="122">
        <v>1</v>
      </c>
      <c r="E45" s="219" t="str">
        <f>IF(O36+Q36=0,0,IF(O36&gt;Q36,E36,G36))</f>
        <v>SpVgg Pfreimd</v>
      </c>
      <c r="F45" s="136"/>
      <c r="G45" s="137"/>
      <c r="H45" s="137"/>
      <c r="I45" s="126"/>
      <c r="J45" s="126"/>
      <c r="K45" s="126"/>
      <c r="L45" s="126"/>
      <c r="M45" s="126"/>
      <c r="N45" s="126"/>
      <c r="O45" s="137"/>
      <c r="P45" s="126"/>
      <c r="Q45" s="126"/>
      <c r="R45" s="126"/>
      <c r="S45" s="126"/>
      <c r="T45" s="126"/>
      <c r="U45" s="122"/>
      <c r="V45" s="122"/>
    </row>
    <row r="46" spans="1:25" x14ac:dyDescent="0.2">
      <c r="A46" s="122"/>
      <c r="B46" s="122"/>
      <c r="C46" s="233"/>
      <c r="D46" s="122"/>
      <c r="E46" s="135"/>
      <c r="F46" s="136"/>
      <c r="G46" s="137"/>
      <c r="H46" s="137"/>
      <c r="I46" s="126"/>
      <c r="J46" s="126"/>
      <c r="K46" s="126"/>
      <c r="L46" s="126"/>
      <c r="M46" s="126"/>
      <c r="N46" s="126"/>
      <c r="O46" s="137"/>
      <c r="P46" s="126"/>
      <c r="Q46" s="126"/>
      <c r="R46" s="126"/>
      <c r="S46" s="126"/>
      <c r="T46" s="126"/>
      <c r="U46" s="122"/>
      <c r="V46" s="122"/>
    </row>
    <row r="47" spans="1:25" x14ac:dyDescent="0.2">
      <c r="F47" s="117">
        <f>SUM(O5:O16,Q5:Q16,S26:S36,U26:U36)</f>
        <v>24</v>
      </c>
    </row>
    <row r="48" spans="1:25" x14ac:dyDescent="0.2">
      <c r="F48" s="220">
        <f>SUM(F47/18)</f>
        <v>1.3333333333333333</v>
      </c>
    </row>
    <row r="60" spans="5:5" x14ac:dyDescent="0.2">
      <c r="E60" s="117" t="s">
        <v>96</v>
      </c>
    </row>
  </sheetData>
  <sheetProtection selectLockedCells="1" selectUnlockedCells="1"/>
  <mergeCells count="43">
    <mergeCell ref="V24:V36"/>
    <mergeCell ref="G25:N25"/>
    <mergeCell ref="G26:N26"/>
    <mergeCell ref="G27:N27"/>
    <mergeCell ref="G28:N28"/>
    <mergeCell ref="G29:N29"/>
    <mergeCell ref="G30:N30"/>
    <mergeCell ref="G31:N31"/>
    <mergeCell ref="G32:N32"/>
    <mergeCell ref="G33:N33"/>
    <mergeCell ref="R24:R36"/>
    <mergeCell ref="G34:N34"/>
    <mergeCell ref="G35:N35"/>
    <mergeCell ref="G36:N36"/>
    <mergeCell ref="H20:N20"/>
    <mergeCell ref="H21:N21"/>
    <mergeCell ref="H22:N22"/>
    <mergeCell ref="H23:N23"/>
    <mergeCell ref="A24:Q24"/>
    <mergeCell ref="H19:N19"/>
    <mergeCell ref="G6:N6"/>
    <mergeCell ref="G7:N7"/>
    <mergeCell ref="G8:N8"/>
    <mergeCell ref="G9:N9"/>
    <mergeCell ref="G10:N10"/>
    <mergeCell ref="G11:N11"/>
    <mergeCell ref="G12:N12"/>
    <mergeCell ref="G13:N13"/>
    <mergeCell ref="G14:N14"/>
    <mergeCell ref="G15:N15"/>
    <mergeCell ref="G16:N16"/>
    <mergeCell ref="A4:D4"/>
    <mergeCell ref="G4:K4"/>
    <mergeCell ref="L4:O4"/>
    <mergeCell ref="S4:U4"/>
    <mergeCell ref="G5:N5"/>
    <mergeCell ref="S5:U5"/>
    <mergeCell ref="A3:Q3"/>
    <mergeCell ref="A1:Q1"/>
    <mergeCell ref="A2:E2"/>
    <mergeCell ref="H2:I2"/>
    <mergeCell ref="K2:L2"/>
    <mergeCell ref="M2:N2"/>
  </mergeCells>
  <conditionalFormatting sqref="E5:G5 E7:G7 E9:G9 E11:G11 E13:G13 E15:G15 O5:Q5 O7:Q7 O9:Q9 O11:Q11 O13:Q13 O15:Q15">
    <cfRule type="expression" dxfId="16" priority="1" stopIfTrue="1">
      <formula>(ISBLANK($O5)=0)</formula>
    </cfRule>
  </conditionalFormatting>
  <conditionalFormatting sqref="E6:G6 E8:G8 E10:G10 E12:G12 E14:G14 E16:G16 E25:G26 E28:G28 E34:G34 E36:G36 G27:G29 G31 G33:G36 O6:Q6 O8:Q8 O10:Q10 O12:Q12 O14:Q14 O16:Q16 O25:Q26 O28:Q28 O34:Q34 O36:Q36">
    <cfRule type="expression" dxfId="15" priority="2" stopIfTrue="1">
      <formula>#N/A</formula>
    </cfRule>
  </conditionalFormatting>
  <conditionalFormatting sqref="E30:G30 E32:G32 O30:Q30 O32:Q32">
    <cfRule type="expression" dxfId="14" priority="3" stopIfTrue="1">
      <formula>(ISBLANK($O30)=0)</formula>
    </cfRule>
  </conditionalFormatting>
  <pageMargins left="0.7" right="0.7" top="1.575" bottom="1.575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48"/>
  <sheetViews>
    <sheetView topLeftCell="A10" zoomScale="85" zoomScaleNormal="85" workbookViewId="0">
      <selection activeCell="Z41" sqref="Z41"/>
    </sheetView>
  </sheetViews>
  <sheetFormatPr baseColWidth="10" defaultColWidth="3.140625" defaultRowHeight="14.25" x14ac:dyDescent="0.2"/>
  <cols>
    <col min="1" max="1" width="3.140625" style="117"/>
    <col min="2" max="2" width="3.42578125" style="117" customWidth="1"/>
    <col min="3" max="3" width="5.85546875" style="221" customWidth="1"/>
    <col min="4" max="4" width="2" style="117" customWidth="1"/>
    <col min="5" max="5" width="26.85546875" style="117" customWidth="1"/>
    <col min="6" max="6" width="4.85546875" style="117" customWidth="1"/>
    <col min="7" max="15" width="3.28515625" style="117" customWidth="1"/>
    <col min="16" max="16" width="1.85546875" style="117" customWidth="1"/>
    <col min="17" max="18" width="3.28515625" style="117" customWidth="1"/>
    <col min="19" max="19" width="4.42578125" style="117" customWidth="1"/>
    <col min="20" max="22" width="3.28515625" style="117" customWidth="1"/>
    <col min="23" max="24" width="3.85546875" style="117" customWidth="1"/>
    <col min="25" max="25" width="3.42578125" style="117" customWidth="1"/>
    <col min="26" max="26" width="23.140625" style="117" customWidth="1"/>
    <col min="27" max="35" width="3.28515625" style="117" customWidth="1"/>
    <col min="36" max="36" width="7" style="117" customWidth="1"/>
    <col min="37" max="41" width="3.28515625" style="117" customWidth="1"/>
    <col min="42" max="42" width="5.5703125" style="117" customWidth="1"/>
    <col min="43" max="43" width="8.7109375" style="117" customWidth="1"/>
    <col min="44" max="254" width="12.28515625" style="117" customWidth="1"/>
    <col min="255" max="255" width="2.7109375" style="117" customWidth="1"/>
    <col min="256" max="16384" width="3.140625" style="117"/>
  </cols>
  <sheetData>
    <row r="1" spans="1:43" s="122" customFormat="1" ht="12.75" x14ac:dyDescent="0.2">
      <c r="A1" s="290" t="s">
        <v>97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43" s="122" customFormat="1" ht="12.75" x14ac:dyDescent="0.2">
      <c r="A2" s="291">
        <v>43484</v>
      </c>
      <c r="B2" s="291"/>
      <c r="C2" s="291"/>
      <c r="D2" s="291"/>
      <c r="E2" s="291"/>
      <c r="F2" s="124"/>
      <c r="G2" s="124" t="s">
        <v>49</v>
      </c>
      <c r="H2" s="292">
        <v>0.39583333333333331</v>
      </c>
      <c r="I2" s="292"/>
      <c r="J2" s="121" t="s">
        <v>50</v>
      </c>
      <c r="K2" s="293">
        <f>C37</f>
        <v>0.55000000000000016</v>
      </c>
      <c r="L2" s="293"/>
      <c r="M2" s="294" t="s">
        <v>51</v>
      </c>
      <c r="N2" s="294"/>
      <c r="O2" s="121"/>
      <c r="P2" s="121"/>
      <c r="Q2" s="121"/>
      <c r="R2" s="121"/>
      <c r="S2" s="121"/>
      <c r="T2" s="121"/>
      <c r="U2" s="121"/>
      <c r="V2" s="121"/>
      <c r="W2" s="121"/>
    </row>
    <row r="3" spans="1:43" x14ac:dyDescent="0.2">
      <c r="A3" s="289" t="s">
        <v>52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126"/>
      <c r="S3" s="126"/>
      <c r="T3" s="126"/>
      <c r="U3" s="122"/>
      <c r="V3" s="122"/>
    </row>
    <row r="4" spans="1:43" x14ac:dyDescent="0.2">
      <c r="A4" s="295" t="s">
        <v>7</v>
      </c>
      <c r="B4" s="295"/>
      <c r="C4" s="295"/>
      <c r="D4" s="295"/>
      <c r="E4" s="190">
        <v>6.9444444444444441E-3</v>
      </c>
      <c r="F4" s="121"/>
      <c r="G4" s="311" t="s">
        <v>8</v>
      </c>
      <c r="H4" s="311"/>
      <c r="I4" s="311"/>
      <c r="J4" s="311"/>
      <c r="K4" s="311"/>
      <c r="L4" s="312">
        <v>1.3888888888888889E-3</v>
      </c>
      <c r="M4" s="312"/>
      <c r="N4" s="312"/>
      <c r="O4" s="312"/>
      <c r="P4" s="129"/>
      <c r="Q4" s="129"/>
      <c r="R4" s="126"/>
      <c r="S4" s="318">
        <f>SUM(E4+L4)</f>
        <v>8.3333333333333332E-3</v>
      </c>
      <c r="T4" s="318"/>
      <c r="U4" s="318"/>
      <c r="V4" s="122"/>
    </row>
    <row r="5" spans="1:43" x14ac:dyDescent="0.2">
      <c r="A5" s="130">
        <v>1</v>
      </c>
      <c r="B5" s="130" t="s">
        <v>9</v>
      </c>
      <c r="C5" s="222">
        <f>H2</f>
        <v>0.39583333333333331</v>
      </c>
      <c r="D5" s="130"/>
      <c r="E5" s="223" t="str">
        <f>Z7</f>
        <v>JFG Naab-Regen</v>
      </c>
      <c r="F5" s="223" t="s">
        <v>10</v>
      </c>
      <c r="G5" s="299" t="str">
        <f>Z10</f>
        <v>TSV Neutraubling</v>
      </c>
      <c r="H5" s="299"/>
      <c r="I5" s="299"/>
      <c r="J5" s="299"/>
      <c r="K5" s="299"/>
      <c r="L5" s="299"/>
      <c r="M5" s="299"/>
      <c r="N5" s="299"/>
      <c r="O5" s="230">
        <v>2</v>
      </c>
      <c r="P5" s="230" t="s">
        <v>28</v>
      </c>
      <c r="Q5" s="230">
        <v>1</v>
      </c>
      <c r="S5" s="318">
        <v>4.1666666666666666E-3</v>
      </c>
      <c r="T5" s="318"/>
      <c r="U5" s="318"/>
      <c r="V5" s="122"/>
      <c r="W5" s="122"/>
      <c r="X5" s="121"/>
      <c r="Y5" s="122"/>
      <c r="Z5" s="135"/>
      <c r="AA5" s="136"/>
      <c r="AB5" s="137"/>
      <c r="AC5" s="137"/>
      <c r="AD5" s="126"/>
      <c r="AE5" s="126"/>
      <c r="AF5" s="126"/>
      <c r="AG5" s="126"/>
      <c r="AH5" s="126"/>
      <c r="AI5" s="126"/>
      <c r="AJ5" s="137"/>
      <c r="AK5" s="126"/>
      <c r="AL5" s="126"/>
      <c r="AM5" s="126"/>
      <c r="AN5" s="126"/>
      <c r="AO5" s="126"/>
      <c r="AP5" s="122"/>
    </row>
    <row r="6" spans="1:43" x14ac:dyDescent="0.2">
      <c r="A6" s="139">
        <v>2</v>
      </c>
      <c r="B6" s="139" t="s">
        <v>9</v>
      </c>
      <c r="C6" s="226">
        <f t="shared" ref="C6:C17" si="0">C5+$S$4</f>
        <v>0.40416666666666667</v>
      </c>
      <c r="D6" s="139"/>
      <c r="E6" s="228" t="str">
        <f>Z9</f>
        <v>SSV Jahn Futsal</v>
      </c>
      <c r="F6" s="228" t="s">
        <v>10</v>
      </c>
      <c r="G6" s="301" t="str">
        <f>Z8</f>
        <v>JFG 3 Schlösser-Eck</v>
      </c>
      <c r="H6" s="301"/>
      <c r="I6" s="301"/>
      <c r="J6" s="301"/>
      <c r="K6" s="301"/>
      <c r="L6" s="301"/>
      <c r="M6" s="301"/>
      <c r="N6" s="301"/>
      <c r="O6" s="230">
        <v>1</v>
      </c>
      <c r="P6" s="230" t="s">
        <v>28</v>
      </c>
      <c r="Q6" s="230">
        <v>0</v>
      </c>
      <c r="S6" s="141"/>
      <c r="T6" s="141"/>
      <c r="U6" s="142"/>
      <c r="V6" s="122"/>
      <c r="W6" s="122"/>
      <c r="X6" s="121"/>
      <c r="Y6" s="143" t="s">
        <v>21</v>
      </c>
      <c r="Z6" s="144"/>
      <c r="AA6" s="243" t="s">
        <v>24</v>
      </c>
      <c r="AB6" s="244"/>
      <c r="AC6" s="245"/>
      <c r="AD6" s="246" t="s">
        <v>25</v>
      </c>
      <c r="AE6" s="247"/>
      <c r="AF6" s="248"/>
      <c r="AG6" s="246" t="s">
        <v>26</v>
      </c>
      <c r="AH6" s="247"/>
      <c r="AI6" s="248"/>
      <c r="AJ6" s="152" t="s">
        <v>22</v>
      </c>
      <c r="AK6" s="148" t="s">
        <v>23</v>
      </c>
      <c r="AL6" s="149"/>
      <c r="AM6" s="150"/>
      <c r="AN6" s="152"/>
      <c r="AO6" s="152" t="s">
        <v>98</v>
      </c>
      <c r="AP6" s="153"/>
    </row>
    <row r="7" spans="1:43" x14ac:dyDescent="0.2">
      <c r="A7" s="130">
        <v>3</v>
      </c>
      <c r="B7" s="139" t="s">
        <v>12</v>
      </c>
      <c r="C7" s="226">
        <f t="shared" si="0"/>
        <v>0.41250000000000003</v>
      </c>
      <c r="D7" s="139"/>
      <c r="E7" s="223" t="str">
        <f>Z12</f>
        <v>JFG Kickers Labertal</v>
      </c>
      <c r="F7" s="223" t="s">
        <v>10</v>
      </c>
      <c r="G7" s="301" t="str">
        <f>Z15</f>
        <v>JFG FR Seubersdorf</v>
      </c>
      <c r="H7" s="301"/>
      <c r="I7" s="301"/>
      <c r="J7" s="301"/>
      <c r="K7" s="301"/>
      <c r="L7" s="301"/>
      <c r="M7" s="301"/>
      <c r="N7" s="301"/>
      <c r="O7" s="230">
        <v>0</v>
      </c>
      <c r="P7" s="230" t="s">
        <v>28</v>
      </c>
      <c r="Q7" s="230">
        <v>0</v>
      </c>
      <c r="S7" s="126"/>
      <c r="T7" s="126"/>
      <c r="U7" s="122"/>
      <c r="V7" s="122"/>
      <c r="W7" s="186" t="str">
        <f>IF(AO7=0,"4",IF(AO7=1,"3",IF(AO7=2,"2",IF(AO7=3,"1",0))))</f>
        <v>1</v>
      </c>
      <c r="X7" s="121">
        <v>3</v>
      </c>
      <c r="Y7" s="153" t="s">
        <v>27</v>
      </c>
      <c r="Z7" s="157" t="s">
        <v>99</v>
      </c>
      <c r="AA7" s="158">
        <f>O5</f>
        <v>2</v>
      </c>
      <c r="AB7" s="158" t="str">
        <f>P5</f>
        <v>:</v>
      </c>
      <c r="AC7" s="158">
        <f>Q5</f>
        <v>1</v>
      </c>
      <c r="AD7" s="158">
        <f>O9</f>
        <v>0</v>
      </c>
      <c r="AE7" s="158" t="s">
        <v>28</v>
      </c>
      <c r="AF7" s="158">
        <f>Q9</f>
        <v>1</v>
      </c>
      <c r="AG7" s="158">
        <f>Q14</f>
        <v>3</v>
      </c>
      <c r="AH7" s="158" t="s">
        <v>28</v>
      </c>
      <c r="AI7" s="158">
        <f>O14</f>
        <v>0</v>
      </c>
      <c r="AJ7" s="231">
        <f>SUM(IF(AA7&gt;AC7,3,IF(AA7=AC7,1,IF(AA7&lt;AC7,0))))+SUM(IF(AD7&gt;AF7,3,IF(AD7=AF7,1,IF(AD7&lt;AF7,0))))+SUM(IF(AG7&gt;AI7,3,IF(AG7=AI7,1,IF(AG7&lt;AI7,0))))</f>
        <v>6</v>
      </c>
      <c r="AK7" s="158">
        <f>SUM(AA7+AD7+AG7)</f>
        <v>5</v>
      </c>
      <c r="AL7" s="158" t="s">
        <v>28</v>
      </c>
      <c r="AM7" s="158">
        <f>SUM(AC7+AF7+AI7)</f>
        <v>2</v>
      </c>
      <c r="AN7" s="158">
        <f>SUM(AK7-AM7)</f>
        <v>3</v>
      </c>
      <c r="AO7" s="160">
        <f>X7</f>
        <v>3</v>
      </c>
      <c r="AP7" s="161">
        <f>AJ7+AN7%</f>
        <v>6.03</v>
      </c>
      <c r="AQ7" s="162">
        <f>(AJ7*1000000)+(AN7*1000)+AK7</f>
        <v>6003005</v>
      </c>
    </row>
    <row r="8" spans="1:43" x14ac:dyDescent="0.2">
      <c r="A8" s="139">
        <v>4</v>
      </c>
      <c r="B8" s="139" t="s">
        <v>12</v>
      </c>
      <c r="C8" s="226">
        <f t="shared" si="0"/>
        <v>0.42083333333333339</v>
      </c>
      <c r="D8" s="139"/>
      <c r="E8" s="223" t="str">
        <f>Z14</f>
        <v>SG TB/ASV Regenstauf</v>
      </c>
      <c r="F8" s="223" t="s">
        <v>10</v>
      </c>
      <c r="G8" s="301" t="str">
        <f>Z13</f>
        <v>JFG Haidau</v>
      </c>
      <c r="H8" s="301"/>
      <c r="I8" s="301"/>
      <c r="J8" s="301"/>
      <c r="K8" s="301"/>
      <c r="L8" s="301"/>
      <c r="M8" s="301"/>
      <c r="N8" s="301"/>
      <c r="O8" s="230">
        <v>2</v>
      </c>
      <c r="P8" s="230" t="s">
        <v>28</v>
      </c>
      <c r="Q8" s="230">
        <v>0</v>
      </c>
      <c r="S8" s="126"/>
      <c r="T8" s="126"/>
      <c r="U8" s="122"/>
      <c r="V8" s="122"/>
      <c r="W8" s="186" t="str">
        <f>IF(AO8=0,"4",IF(AO8=1,"3",IF(AO8=2,"2",IF(AO8=3,"1",0))))</f>
        <v>4</v>
      </c>
      <c r="X8" s="121">
        <f>IF(AQ8&gt;AQ7,1,0)+IF(AQ8&gt;AQ9,1,0)+IF(AQ8&gt;AQ10,1,0)</f>
        <v>0</v>
      </c>
      <c r="Y8" s="153" t="s">
        <v>29</v>
      </c>
      <c r="Z8" s="157" t="s">
        <v>89</v>
      </c>
      <c r="AA8" s="158">
        <f>Q6</f>
        <v>0</v>
      </c>
      <c r="AB8" s="158" t="s">
        <v>28</v>
      </c>
      <c r="AC8" s="158">
        <f>O6</f>
        <v>1</v>
      </c>
      <c r="AD8" s="158">
        <f>O10</f>
        <v>1</v>
      </c>
      <c r="AE8" s="158" t="s">
        <v>28</v>
      </c>
      <c r="AF8" s="158">
        <f>Q10</f>
        <v>5</v>
      </c>
      <c r="AG8" s="158">
        <f>O14</f>
        <v>0</v>
      </c>
      <c r="AH8" s="158" t="s">
        <v>28</v>
      </c>
      <c r="AI8" s="158">
        <f>Q14</f>
        <v>3</v>
      </c>
      <c r="AJ8" s="231">
        <f>SUM(IF(AA8&gt;AC8,3,IF(AA8=AC8,1,IF(AA8&lt;AC8,0))))+SUM(IF(AD8&gt;AF8,3,IF(AD8=AF8,1,IF(AD8&lt;AF8,0))))+SUM(IF(AG8&gt;AI8,3,IF(AG8=AI8,1,IF(AG8&lt;AI8,0))))</f>
        <v>0</v>
      </c>
      <c r="AK8" s="158">
        <f>SUM(AA8+AD8+AG8)</f>
        <v>1</v>
      </c>
      <c r="AL8" s="158" t="s">
        <v>28</v>
      </c>
      <c r="AM8" s="158">
        <f>SUM(AC8+AF8+AI8)</f>
        <v>9</v>
      </c>
      <c r="AN8" s="158">
        <f>SUM(AK8-AM8)</f>
        <v>-8</v>
      </c>
      <c r="AO8" s="160">
        <f>X8</f>
        <v>0</v>
      </c>
      <c r="AP8" s="161">
        <f>AJ8+AN8%</f>
        <v>-0.08</v>
      </c>
      <c r="AQ8" s="162">
        <f>(AJ8*1000000)+(AN8*1000)+AK8</f>
        <v>-7999</v>
      </c>
    </row>
    <row r="9" spans="1:43" x14ac:dyDescent="0.2">
      <c r="A9" s="130">
        <v>5</v>
      </c>
      <c r="B9" s="130" t="s">
        <v>9</v>
      </c>
      <c r="C9" s="226">
        <f t="shared" si="0"/>
        <v>0.42916666666666675</v>
      </c>
      <c r="D9" s="139"/>
      <c r="E9" s="249" t="str">
        <f>Z7</f>
        <v>JFG Naab-Regen</v>
      </c>
      <c r="F9" s="230" t="s">
        <v>10</v>
      </c>
      <c r="G9" s="319" t="str">
        <f>Z9</f>
        <v>SSV Jahn Futsal</v>
      </c>
      <c r="H9" s="319"/>
      <c r="I9" s="319"/>
      <c r="J9" s="319"/>
      <c r="K9" s="319"/>
      <c r="L9" s="319"/>
      <c r="M9" s="319"/>
      <c r="N9" s="319"/>
      <c r="O9" s="230">
        <v>0</v>
      </c>
      <c r="P9" s="230" t="s">
        <v>28</v>
      </c>
      <c r="Q9" s="230">
        <v>1</v>
      </c>
      <c r="S9" s="126"/>
      <c r="T9" s="126"/>
      <c r="U9" s="122"/>
      <c r="V9" s="122"/>
      <c r="W9" s="186" t="str">
        <f>IF(AO9=0,"4",IF(AO9=1,"3",IF(AO9=2,"2",IF(AO9=3,"1",0))))</f>
        <v>3</v>
      </c>
      <c r="X9" s="121">
        <f>IF(AQ9&gt;AQ7,1,0)+IF(AQ9&gt;AQ8,1,0)+IF(AQ9&gt;AQ10,1,0)</f>
        <v>1</v>
      </c>
      <c r="Y9" s="153" t="s">
        <v>30</v>
      </c>
      <c r="Z9" s="157" t="s">
        <v>100</v>
      </c>
      <c r="AA9" s="158">
        <f>O6</f>
        <v>1</v>
      </c>
      <c r="AB9" s="158" t="s">
        <v>28</v>
      </c>
      <c r="AC9" s="158">
        <f>Q6</f>
        <v>0</v>
      </c>
      <c r="AD9" s="158">
        <f>Q9</f>
        <v>1</v>
      </c>
      <c r="AE9" s="158" t="s">
        <v>28</v>
      </c>
      <c r="AF9" s="158">
        <f>O9</f>
        <v>0</v>
      </c>
      <c r="AG9" s="158">
        <f>Q13</f>
        <v>0</v>
      </c>
      <c r="AH9" s="158" t="s">
        <v>28</v>
      </c>
      <c r="AI9" s="158">
        <f>O13</f>
        <v>1</v>
      </c>
      <c r="AJ9" s="231">
        <f>SUM(IF(AA9&gt;AC9,3,IF(AA9=AC9,1,IF(AA9&lt;AC9,0))))+SUM(IF(AD9&gt;AF9,3,IF(AD9=AF9,1,IF(AD9&lt;AF9,0))))+SUM(IF(AG9&gt;AI9,3,IF(AG9=AI9,1,IF(AG9&lt;AI9,0))))</f>
        <v>6</v>
      </c>
      <c r="AK9" s="158">
        <f>SUM(AA9+AD9+AG9)</f>
        <v>2</v>
      </c>
      <c r="AL9" s="158" t="s">
        <v>28</v>
      </c>
      <c r="AM9" s="158">
        <f>SUM(AC9+AF9+AI9)</f>
        <v>1</v>
      </c>
      <c r="AN9" s="158">
        <f>SUM(AK9-AM9)</f>
        <v>1</v>
      </c>
      <c r="AO9" s="160">
        <f>X9</f>
        <v>1</v>
      </c>
      <c r="AP9" s="161">
        <f>AJ9+AN9%</f>
        <v>6.01</v>
      </c>
      <c r="AQ9" s="162">
        <f>(AJ9*1000000)+(AN9*1000)+AK9</f>
        <v>6001002</v>
      </c>
    </row>
    <row r="10" spans="1:43" x14ac:dyDescent="0.2">
      <c r="A10" s="139">
        <v>6</v>
      </c>
      <c r="B10" s="139" t="s">
        <v>9</v>
      </c>
      <c r="C10" s="226">
        <f t="shared" si="0"/>
        <v>0.43750000000000011</v>
      </c>
      <c r="D10" s="139"/>
      <c r="E10" s="230" t="str">
        <f>Z8</f>
        <v>JFG 3 Schlösser-Eck</v>
      </c>
      <c r="F10" s="230" t="s">
        <v>10</v>
      </c>
      <c r="G10" s="301" t="str">
        <f>Z10</f>
        <v>TSV Neutraubling</v>
      </c>
      <c r="H10" s="301"/>
      <c r="I10" s="301"/>
      <c r="J10" s="301"/>
      <c r="K10" s="301"/>
      <c r="L10" s="301"/>
      <c r="M10" s="301"/>
      <c r="N10" s="301"/>
      <c r="O10" s="230">
        <v>1</v>
      </c>
      <c r="P10" s="230" t="s">
        <v>28</v>
      </c>
      <c r="Q10" s="230">
        <v>5</v>
      </c>
      <c r="S10" s="126"/>
      <c r="T10" s="126"/>
      <c r="U10" s="122"/>
      <c r="V10" s="122"/>
      <c r="W10" s="186" t="str">
        <f>IF(AO10=0,"4",IF(AO10=1,"3",IF(AO10=2,"2",IF(AO10=3,"1",0))))</f>
        <v>2</v>
      </c>
      <c r="X10" s="121">
        <v>2</v>
      </c>
      <c r="Y10" s="153" t="s">
        <v>31</v>
      </c>
      <c r="Z10" s="157" t="s">
        <v>15</v>
      </c>
      <c r="AA10" s="158">
        <f>Q5</f>
        <v>1</v>
      </c>
      <c r="AB10" s="158" t="s">
        <v>28</v>
      </c>
      <c r="AC10" s="158">
        <f>O5</f>
        <v>2</v>
      </c>
      <c r="AD10" s="158">
        <f>Q10</f>
        <v>5</v>
      </c>
      <c r="AE10" s="158" t="s">
        <v>28</v>
      </c>
      <c r="AF10" s="158">
        <f>O10</f>
        <v>1</v>
      </c>
      <c r="AG10" s="158">
        <f>O13</f>
        <v>1</v>
      </c>
      <c r="AH10" s="158" t="s">
        <v>28</v>
      </c>
      <c r="AI10" s="158">
        <f>Q13</f>
        <v>0</v>
      </c>
      <c r="AJ10" s="231">
        <f>SUM(IF(AA10&gt;AC10,3,IF(AA10=AC10,1,IF(AA10&lt;AC10,0))))+SUM(IF(AD10&gt;AF10,3,IF(AD10=AF10,1,IF(AD10&lt;AF10,0))))+SUM(IF(AG10&gt;AI10,3,IF(AG10=AI10,1,IF(AG10&lt;AI10,0))))</f>
        <v>6</v>
      </c>
      <c r="AK10" s="158">
        <f>SUM(AA10+AD10+AG10)</f>
        <v>7</v>
      </c>
      <c r="AL10" s="158" t="s">
        <v>28</v>
      </c>
      <c r="AM10" s="158">
        <f>SUM(AC10+AF10+AI10)</f>
        <v>3</v>
      </c>
      <c r="AN10" s="158">
        <f>SUM(AK10-AM10)</f>
        <v>4</v>
      </c>
      <c r="AO10" s="160">
        <f>X10</f>
        <v>2</v>
      </c>
      <c r="AP10" s="161">
        <f>AJ10+AN10%</f>
        <v>6.04</v>
      </c>
      <c r="AQ10" s="162">
        <f>(AJ10*1000000)+(AN10*1000)+AK10</f>
        <v>6004007</v>
      </c>
    </row>
    <row r="11" spans="1:43" x14ac:dyDescent="0.2">
      <c r="A11" s="130">
        <v>7</v>
      </c>
      <c r="B11" s="139" t="s">
        <v>12</v>
      </c>
      <c r="C11" s="226">
        <f t="shared" si="0"/>
        <v>0.44583333333333347</v>
      </c>
      <c r="D11" s="139"/>
      <c r="E11" s="228" t="str">
        <f>Z12</f>
        <v>JFG Kickers Labertal</v>
      </c>
      <c r="F11" s="223" t="s">
        <v>10</v>
      </c>
      <c r="G11" s="319" t="str">
        <f>Z14</f>
        <v>SG TB/ASV Regenstauf</v>
      </c>
      <c r="H11" s="319"/>
      <c r="I11" s="319"/>
      <c r="J11" s="319"/>
      <c r="K11" s="319"/>
      <c r="L11" s="319"/>
      <c r="M11" s="319"/>
      <c r="N11" s="319"/>
      <c r="O11" s="230">
        <v>0</v>
      </c>
      <c r="P11" s="230" t="s">
        <v>28</v>
      </c>
      <c r="Q11" s="230">
        <v>0</v>
      </c>
      <c r="S11" s="126"/>
      <c r="T11" s="126"/>
      <c r="U11" s="122"/>
      <c r="V11" s="122"/>
      <c r="W11" s="122"/>
      <c r="X11" s="121"/>
      <c r="Y11" s="165" t="s">
        <v>32</v>
      </c>
      <c r="Z11" s="166"/>
      <c r="AA11" s="167" t="s">
        <v>24</v>
      </c>
      <c r="AB11" s="168"/>
      <c r="AC11" s="169"/>
      <c r="AD11" s="167" t="s">
        <v>25</v>
      </c>
      <c r="AE11" s="168"/>
      <c r="AF11" s="169"/>
      <c r="AG11" s="167" t="s">
        <v>26</v>
      </c>
      <c r="AH11" s="168"/>
      <c r="AI11" s="169"/>
      <c r="AJ11" s="171" t="s">
        <v>22</v>
      </c>
      <c r="AK11" s="167" t="s">
        <v>23</v>
      </c>
      <c r="AL11" s="168"/>
      <c r="AM11" s="169"/>
      <c r="AN11" s="171"/>
      <c r="AO11" s="171" t="s">
        <v>0</v>
      </c>
      <c r="AP11" s="172"/>
      <c r="AQ11" s="162"/>
    </row>
    <row r="12" spans="1:43" x14ac:dyDescent="0.2">
      <c r="A12" s="139">
        <v>12</v>
      </c>
      <c r="B12" s="139" t="s">
        <v>12</v>
      </c>
      <c r="C12" s="226">
        <f t="shared" si="0"/>
        <v>0.45416666666666683</v>
      </c>
      <c r="D12" s="139"/>
      <c r="E12" s="223" t="str">
        <f>Z13</f>
        <v>JFG Haidau</v>
      </c>
      <c r="F12" s="223" t="s">
        <v>10</v>
      </c>
      <c r="G12" s="301" t="str">
        <f>Z15</f>
        <v>JFG FR Seubersdorf</v>
      </c>
      <c r="H12" s="301"/>
      <c r="I12" s="301"/>
      <c r="J12" s="301"/>
      <c r="K12" s="301"/>
      <c r="L12" s="301"/>
      <c r="M12" s="301"/>
      <c r="N12" s="301"/>
      <c r="O12" s="230">
        <v>2</v>
      </c>
      <c r="P12" s="230" t="s">
        <v>28</v>
      </c>
      <c r="Q12" s="230">
        <v>2</v>
      </c>
      <c r="S12" s="126"/>
      <c r="T12" s="126"/>
      <c r="U12" s="122"/>
      <c r="V12" s="122"/>
      <c r="W12" s="122" t="str">
        <f>IF(AO12=0,"4",IF(AO12=1,"3",IF(AO12=2,"2",IF(AO12=3,"1",0))))</f>
        <v>2</v>
      </c>
      <c r="X12" s="121">
        <f>IF(AQ12&gt;AQ13,1,0)+IF(AQ12&gt;AQ14,1,0)+IF(AQ12&gt;AQ15,1,0)</f>
        <v>2</v>
      </c>
      <c r="Y12" s="173" t="s">
        <v>27</v>
      </c>
      <c r="Z12" s="174" t="s">
        <v>84</v>
      </c>
      <c r="AA12" s="175">
        <f>O7</f>
        <v>0</v>
      </c>
      <c r="AB12" s="175" t="s">
        <v>28</v>
      </c>
      <c r="AC12" s="175">
        <f>Q7</f>
        <v>0</v>
      </c>
      <c r="AD12" s="175">
        <f>O11</f>
        <v>0</v>
      </c>
      <c r="AE12" s="175" t="s">
        <v>28</v>
      </c>
      <c r="AF12" s="175">
        <f>Q11</f>
        <v>0</v>
      </c>
      <c r="AG12" s="175">
        <f>Q16</f>
        <v>2</v>
      </c>
      <c r="AH12" s="175" t="s">
        <v>28</v>
      </c>
      <c r="AI12" s="175">
        <f>O16</f>
        <v>2</v>
      </c>
      <c r="AJ12" s="232">
        <f>SUM(IF(AA12&gt;AC12,3,IF(AA12=AC12,1,IF(AA12&lt;AC12,0))))+SUM(IF(AD12&gt;AF12,3,IF(AD12=AF12,1,IF(AD12&lt;AF12,0))))+SUM(IF(AG12&gt;AI12,3,IF(AG12=AI12,1,IF(AG12&lt;AI12,0))))</f>
        <v>3</v>
      </c>
      <c r="AK12" s="175">
        <f>SUM(AA12+AD12+AG12)</f>
        <v>2</v>
      </c>
      <c r="AL12" s="175"/>
      <c r="AM12" s="175">
        <f>SUM(AC12+AF12+AI12)</f>
        <v>2</v>
      </c>
      <c r="AN12" s="175">
        <f>SUM(AK12-AM12)</f>
        <v>0</v>
      </c>
      <c r="AO12" s="177">
        <f>X12</f>
        <v>2</v>
      </c>
      <c r="AP12" s="178">
        <f>AJ12+AN12%</f>
        <v>3</v>
      </c>
      <c r="AQ12" s="162">
        <f>AJ12*1000000+AN12*1000+AK12</f>
        <v>3000002</v>
      </c>
    </row>
    <row r="13" spans="1:43" x14ac:dyDescent="0.2">
      <c r="A13" s="139">
        <v>8</v>
      </c>
      <c r="B13" s="130" t="s">
        <v>9</v>
      </c>
      <c r="C13" s="226">
        <f t="shared" si="0"/>
        <v>0.46250000000000019</v>
      </c>
      <c r="D13" s="139"/>
      <c r="E13" s="230" t="str">
        <f>Z10</f>
        <v>TSV Neutraubling</v>
      </c>
      <c r="F13" s="230" t="s">
        <v>10</v>
      </c>
      <c r="G13" s="301" t="str">
        <f>Z9</f>
        <v>SSV Jahn Futsal</v>
      </c>
      <c r="H13" s="301"/>
      <c r="I13" s="301"/>
      <c r="J13" s="301"/>
      <c r="K13" s="301"/>
      <c r="L13" s="301"/>
      <c r="M13" s="301"/>
      <c r="N13" s="301"/>
      <c r="O13" s="230">
        <v>1</v>
      </c>
      <c r="P13" s="230" t="s">
        <v>28</v>
      </c>
      <c r="Q13" s="230">
        <v>0</v>
      </c>
      <c r="S13" s="126"/>
      <c r="T13" s="126"/>
      <c r="U13" s="122"/>
      <c r="V13" s="122"/>
      <c r="W13" s="122" t="str">
        <f>IF(AO13=0,"4",IF(AO13=1,"3",IF(AO13=2,"2",IF(AO13=3,"1",0))))</f>
        <v>3</v>
      </c>
      <c r="X13" s="121">
        <f>IF(AQ13&gt;AQ12,1,0)+IF(AQ13&gt;AQ14,1,0)+IF(AQ13&gt;AQ15,1,0)</f>
        <v>1</v>
      </c>
      <c r="Y13" s="173" t="s">
        <v>29</v>
      </c>
      <c r="Z13" s="174" t="s">
        <v>101</v>
      </c>
      <c r="AA13" s="175">
        <f>Q8</f>
        <v>0</v>
      </c>
      <c r="AB13" s="175" t="s">
        <v>28</v>
      </c>
      <c r="AC13" s="175">
        <f>O8</f>
        <v>2</v>
      </c>
      <c r="AD13" s="175">
        <f>O12</f>
        <v>2</v>
      </c>
      <c r="AE13" s="175" t="s">
        <v>28</v>
      </c>
      <c r="AF13" s="175">
        <f>Q12</f>
        <v>2</v>
      </c>
      <c r="AG13" s="175">
        <f>O16</f>
        <v>2</v>
      </c>
      <c r="AH13" s="175" t="s">
        <v>28</v>
      </c>
      <c r="AI13" s="175">
        <f>Q16</f>
        <v>2</v>
      </c>
      <c r="AJ13" s="232">
        <f>SUM(IF(AA13&gt;AC13,3,IF(AA13=AC13,1,IF(AA13&lt;AC13,0))))+SUM(IF(AD13&gt;AF13,3,IF(AD13=AF13,1,IF(AD13&lt;AF13,0))))+SUM(IF(AG13&gt;AI13,3,IF(AG13=AI13,1,IF(AG13&lt;AI13,0))))</f>
        <v>2</v>
      </c>
      <c r="AK13" s="175">
        <f>SUM(AA13+AD13+AG13)</f>
        <v>4</v>
      </c>
      <c r="AL13" s="175" t="s">
        <v>28</v>
      </c>
      <c r="AM13" s="175">
        <f>SUM(AC13+AF13+AI13)</f>
        <v>6</v>
      </c>
      <c r="AN13" s="175">
        <f>SUM(AK13-AM13)</f>
        <v>-2</v>
      </c>
      <c r="AO13" s="177">
        <f>X13</f>
        <v>1</v>
      </c>
      <c r="AP13" s="178">
        <f>AJ13+AN13%</f>
        <v>1.98</v>
      </c>
      <c r="AQ13" s="162">
        <f>AJ13*1000000+AN13*1000+AK13</f>
        <v>1998004</v>
      </c>
    </row>
    <row r="14" spans="1:43" x14ac:dyDescent="0.2">
      <c r="A14" s="139">
        <v>10</v>
      </c>
      <c r="B14" s="139" t="s">
        <v>9</v>
      </c>
      <c r="C14" s="226">
        <f t="shared" si="0"/>
        <v>0.47083333333333355</v>
      </c>
      <c r="D14" s="139"/>
      <c r="E14" s="230" t="str">
        <f>Z8</f>
        <v>JFG 3 Schlösser-Eck</v>
      </c>
      <c r="F14" s="230" t="s">
        <v>10</v>
      </c>
      <c r="G14" s="301" t="str">
        <f>Z7</f>
        <v>JFG Naab-Regen</v>
      </c>
      <c r="H14" s="301"/>
      <c r="I14" s="301"/>
      <c r="J14" s="301"/>
      <c r="K14" s="301"/>
      <c r="L14" s="301"/>
      <c r="M14" s="301"/>
      <c r="N14" s="301"/>
      <c r="O14" s="230">
        <v>0</v>
      </c>
      <c r="P14" s="230" t="s">
        <v>28</v>
      </c>
      <c r="Q14" s="230">
        <v>3</v>
      </c>
      <c r="S14" s="126"/>
      <c r="T14" s="126"/>
      <c r="U14" s="122"/>
      <c r="V14" s="122"/>
      <c r="W14" s="122" t="str">
        <f>IF(AO14=0,"4",IF(AO14=1,"3",IF(AO14=2,"2",IF(AO14=3,"1",0))))</f>
        <v>1</v>
      </c>
      <c r="X14" s="121">
        <f>IF(AQ14&gt;AQ12,1,0)+IF(AQ14&gt;AQ13,1,0)+IF(AQ14&gt;AQ15,1,0)</f>
        <v>3</v>
      </c>
      <c r="Y14" s="173" t="s">
        <v>30</v>
      </c>
      <c r="Z14" s="174" t="s">
        <v>102</v>
      </c>
      <c r="AA14" s="175">
        <f>O8</f>
        <v>2</v>
      </c>
      <c r="AB14" s="175" t="s">
        <v>28</v>
      </c>
      <c r="AC14" s="175">
        <f>Q8</f>
        <v>0</v>
      </c>
      <c r="AD14" s="175">
        <f>Q11</f>
        <v>0</v>
      </c>
      <c r="AE14" s="175" t="s">
        <v>28</v>
      </c>
      <c r="AF14" s="175">
        <f>O11</f>
        <v>0</v>
      </c>
      <c r="AG14" s="175">
        <f>Q15</f>
        <v>3</v>
      </c>
      <c r="AH14" s="175" t="s">
        <v>28</v>
      </c>
      <c r="AI14" s="175">
        <f>O15</f>
        <v>1</v>
      </c>
      <c r="AJ14" s="232">
        <f>SUM(IF(AA14&gt;AC14,3,IF(AA14=AC14,1,IF(AA14&lt;AC14,0))))+SUM(IF(AD14&gt;AF14,3,IF(AD14=AF14,1,IF(AD14&lt;AF14,0))))+SUM(IF(AG14&gt;AI14,3,IF(AG14=AI14,1,IF(AG14&lt;AI14,0))))</f>
        <v>7</v>
      </c>
      <c r="AK14" s="175">
        <f>SUM(AA14+AD14+AG14)</f>
        <v>5</v>
      </c>
      <c r="AL14" s="175" t="s">
        <v>28</v>
      </c>
      <c r="AM14" s="175">
        <f>SUM(AC14+AF14+AI14)</f>
        <v>1</v>
      </c>
      <c r="AN14" s="175">
        <f>SUM(AK14-AM14)</f>
        <v>4</v>
      </c>
      <c r="AO14" s="177">
        <f>X14</f>
        <v>3</v>
      </c>
      <c r="AP14" s="178">
        <f>AJ14+AN14%</f>
        <v>7.04</v>
      </c>
      <c r="AQ14" s="162">
        <f>AJ14*1000000+AN14*1000+AK14</f>
        <v>7004005</v>
      </c>
    </row>
    <row r="15" spans="1:43" x14ac:dyDescent="0.2">
      <c r="A15" s="130">
        <v>9</v>
      </c>
      <c r="B15" s="139" t="s">
        <v>12</v>
      </c>
      <c r="C15" s="226">
        <f t="shared" si="0"/>
        <v>0.47916666666666691</v>
      </c>
      <c r="D15" s="139"/>
      <c r="E15" s="223" t="str">
        <f>Z15</f>
        <v>JFG FR Seubersdorf</v>
      </c>
      <c r="F15" s="223" t="s">
        <v>10</v>
      </c>
      <c r="G15" s="301" t="str">
        <f>Z14</f>
        <v>SG TB/ASV Regenstauf</v>
      </c>
      <c r="H15" s="301"/>
      <c r="I15" s="301"/>
      <c r="J15" s="301"/>
      <c r="K15" s="301"/>
      <c r="L15" s="301"/>
      <c r="M15" s="301"/>
      <c r="N15" s="301"/>
      <c r="O15" s="230">
        <v>1</v>
      </c>
      <c r="P15" s="230" t="s">
        <v>28</v>
      </c>
      <c r="Q15" s="230">
        <v>3</v>
      </c>
      <c r="S15" s="126"/>
      <c r="T15" s="126"/>
      <c r="U15" s="122"/>
      <c r="V15" s="122"/>
      <c r="W15" s="122" t="str">
        <f>IF(AO15=0,"4",IF(AO15=1,"3",IF(AO15=2,"2",IF(AO15=3,"1",0))))</f>
        <v>4</v>
      </c>
      <c r="X15" s="121">
        <f>IF(AQ15&gt;AQ13,1,0)+IF(AQ15&gt;AQ14,1,0)+IF(AQ15&gt;AQ12,1,0)</f>
        <v>0</v>
      </c>
      <c r="Y15" s="173" t="s">
        <v>31</v>
      </c>
      <c r="Z15" s="174" t="s">
        <v>103</v>
      </c>
      <c r="AA15" s="175">
        <f>Q7</f>
        <v>0</v>
      </c>
      <c r="AB15" s="175" t="s">
        <v>28</v>
      </c>
      <c r="AC15" s="175">
        <f>O7</f>
        <v>0</v>
      </c>
      <c r="AD15" s="175">
        <f>Q12</f>
        <v>2</v>
      </c>
      <c r="AE15" s="175" t="s">
        <v>28</v>
      </c>
      <c r="AF15" s="175">
        <f>O12</f>
        <v>2</v>
      </c>
      <c r="AG15" s="175">
        <f>O15</f>
        <v>1</v>
      </c>
      <c r="AH15" s="175" t="s">
        <v>28</v>
      </c>
      <c r="AI15" s="175">
        <f>Q15</f>
        <v>3</v>
      </c>
      <c r="AJ15" s="232">
        <f>SUM(IF(AA15&gt;AC15,3,IF(AA15=AC15,1,IF(AA15&lt;AC15,0))))+SUM(IF(AD15&gt;AF15,3,IF(AD15=AF15,1,IF(AD15&lt;AF15,0))))+SUM(IF(AG15&gt;AI15,3,IF(AG15=AI15,1,IF(AG15&lt;AI15,0))))</f>
        <v>2</v>
      </c>
      <c r="AK15" s="175">
        <f>SUM(AA15+AD15+AG15)</f>
        <v>3</v>
      </c>
      <c r="AL15" s="175" t="s">
        <v>28</v>
      </c>
      <c r="AM15" s="175">
        <f>SUM(AC15+AF15+AI15)</f>
        <v>5</v>
      </c>
      <c r="AN15" s="175">
        <f>SUM(AK15-AM15)</f>
        <v>-2</v>
      </c>
      <c r="AO15" s="177">
        <f>X15</f>
        <v>0</v>
      </c>
      <c r="AP15" s="178">
        <f>AJ15+AN15%</f>
        <v>1.98</v>
      </c>
      <c r="AQ15" s="162">
        <f>AJ15*1000000+AN15*1000+AK15</f>
        <v>1998003</v>
      </c>
    </row>
    <row r="16" spans="1:43" x14ac:dyDescent="0.2">
      <c r="A16" s="130">
        <v>7</v>
      </c>
      <c r="B16" s="139" t="s">
        <v>12</v>
      </c>
      <c r="C16" s="226">
        <f t="shared" si="0"/>
        <v>0.48750000000000027</v>
      </c>
      <c r="D16" s="139"/>
      <c r="E16" s="223" t="str">
        <f>Z13</f>
        <v>JFG Haidau</v>
      </c>
      <c r="F16" s="223" t="s">
        <v>10</v>
      </c>
      <c r="G16" s="301" t="str">
        <f>Z12</f>
        <v>JFG Kickers Labertal</v>
      </c>
      <c r="H16" s="301"/>
      <c r="I16" s="301"/>
      <c r="J16" s="301"/>
      <c r="K16" s="301"/>
      <c r="L16" s="301"/>
      <c r="M16" s="301"/>
      <c r="N16" s="301"/>
      <c r="O16" s="230">
        <v>2</v>
      </c>
      <c r="P16" s="230" t="s">
        <v>28</v>
      </c>
      <c r="Q16" s="230">
        <v>2</v>
      </c>
      <c r="S16" s="126"/>
      <c r="T16" s="126"/>
      <c r="U16" s="122"/>
      <c r="V16" s="122"/>
    </row>
    <row r="17" spans="1:31" x14ac:dyDescent="0.2">
      <c r="C17" s="226">
        <f t="shared" si="0"/>
        <v>0.49583333333333363</v>
      </c>
      <c r="R17" s="137"/>
      <c r="S17" s="137"/>
      <c r="T17" s="185"/>
      <c r="U17" s="186"/>
      <c r="V17" s="122"/>
    </row>
    <row r="18" spans="1:31" x14ac:dyDescent="0.2">
      <c r="A18" s="122"/>
      <c r="B18" s="122"/>
      <c r="C18" s="226"/>
      <c r="D18" s="122"/>
      <c r="E18" s="135"/>
      <c r="F18" s="180"/>
      <c r="G18" s="137"/>
      <c r="H18" s="137"/>
      <c r="I18" s="126"/>
      <c r="J18" s="126"/>
      <c r="K18" s="126"/>
      <c r="L18" s="126"/>
      <c r="M18" s="126"/>
      <c r="N18" s="126"/>
      <c r="O18" s="137"/>
      <c r="P18" s="126"/>
      <c r="Q18" s="137"/>
      <c r="R18" s="137"/>
      <c r="S18" s="137"/>
      <c r="T18" s="234"/>
      <c r="U18" s="234"/>
      <c r="V18" s="234"/>
      <c r="Z18" s="250" t="s">
        <v>104</v>
      </c>
      <c r="AA18" s="250"/>
      <c r="AB18" s="250"/>
      <c r="AC18" s="250"/>
      <c r="AD18" s="250"/>
      <c r="AE18" s="250"/>
    </row>
    <row r="19" spans="1:31" x14ac:dyDescent="0.2">
      <c r="A19" s="122"/>
      <c r="B19" s="122"/>
      <c r="C19" s="233"/>
      <c r="D19" s="139"/>
      <c r="E19" s="182" t="str">
        <f>Y6</f>
        <v>Gruppe A</v>
      </c>
      <c r="F19" s="137"/>
      <c r="G19" s="183"/>
      <c r="H19" s="300" t="str">
        <f>Y11</f>
        <v>Gruppe B</v>
      </c>
      <c r="I19" s="300"/>
      <c r="J19" s="300"/>
      <c r="K19" s="300"/>
      <c r="L19" s="300"/>
      <c r="M19" s="300"/>
      <c r="N19" s="300"/>
      <c r="O19" s="184"/>
      <c r="P19" s="137"/>
      <c r="Q19" s="137"/>
      <c r="R19" s="137"/>
      <c r="S19" s="137"/>
      <c r="T19" s="234"/>
      <c r="U19" s="234"/>
      <c r="V19" s="234"/>
      <c r="Z19" s="251" t="str">
        <f>Z7</f>
        <v>JFG Naab-Regen</v>
      </c>
      <c r="AA19" s="250">
        <v>3</v>
      </c>
      <c r="AB19" s="250"/>
      <c r="AC19" s="250">
        <v>2</v>
      </c>
      <c r="AD19" s="250" t="s">
        <v>28</v>
      </c>
      <c r="AE19" s="250">
        <v>2</v>
      </c>
    </row>
    <row r="20" spans="1:31" x14ac:dyDescent="0.2">
      <c r="A20" s="122"/>
      <c r="B20" s="122"/>
      <c r="C20" s="233"/>
      <c r="D20" s="252">
        <v>1</v>
      </c>
      <c r="E20" s="253" t="str">
        <f>VLOOKUP(3,X7:Z10,3,0)</f>
        <v>JFG Naab-Regen</v>
      </c>
      <c r="F20" s="137"/>
      <c r="G20" s="183">
        <v>1</v>
      </c>
      <c r="H20" s="303" t="str">
        <f>VLOOKUP(3,X12:Z15,3,0)</f>
        <v>SG TB/ASV Regenstauf</v>
      </c>
      <c r="I20" s="303"/>
      <c r="J20" s="303"/>
      <c r="K20" s="303"/>
      <c r="L20" s="303"/>
      <c r="M20" s="303"/>
      <c r="N20" s="303"/>
      <c r="O20" s="184"/>
      <c r="P20" s="137"/>
      <c r="Q20" s="137"/>
      <c r="R20" s="137"/>
      <c r="S20" s="137"/>
      <c r="T20" s="234"/>
      <c r="U20" s="234"/>
      <c r="V20" s="234"/>
      <c r="Z20" s="250" t="str">
        <f>Z10</f>
        <v>TSV Neutraubling</v>
      </c>
      <c r="AA20" s="250">
        <v>3</v>
      </c>
      <c r="AB20" s="250"/>
      <c r="AC20" s="250">
        <v>2</v>
      </c>
      <c r="AD20" s="250" t="s">
        <v>28</v>
      </c>
      <c r="AE20" s="250">
        <v>2</v>
      </c>
    </row>
    <row r="21" spans="1:31" x14ac:dyDescent="0.2">
      <c r="A21" s="122"/>
      <c r="B21" s="122"/>
      <c r="C21" s="233"/>
      <c r="D21" s="252">
        <v>2</v>
      </c>
      <c r="E21" s="253" t="str">
        <f>VLOOKUP(2,X7:Z10,3,0)</f>
        <v>TSV Neutraubling</v>
      </c>
      <c r="F21" s="137"/>
      <c r="G21" s="183">
        <v>2</v>
      </c>
      <c r="H21" s="303" t="str">
        <f>VLOOKUP(2,X12:Z15,3,0)</f>
        <v>JFG Kickers Labertal</v>
      </c>
      <c r="I21" s="303"/>
      <c r="J21" s="303"/>
      <c r="K21" s="303"/>
      <c r="L21" s="303"/>
      <c r="M21" s="303"/>
      <c r="N21" s="303"/>
      <c r="O21" s="184"/>
      <c r="P21" s="137"/>
      <c r="Q21" s="137"/>
      <c r="R21" s="137"/>
      <c r="S21" s="137"/>
      <c r="T21" s="234"/>
      <c r="U21" s="234"/>
      <c r="V21" s="234"/>
      <c r="Z21" s="250" t="str">
        <f>Z9</f>
        <v>SSV Jahn Futsal</v>
      </c>
      <c r="AA21" s="250">
        <v>3</v>
      </c>
      <c r="AB21" s="250"/>
      <c r="AC21" s="250">
        <v>1</v>
      </c>
      <c r="AD21" s="250" t="s">
        <v>28</v>
      </c>
      <c r="AE21" s="250">
        <v>1</v>
      </c>
    </row>
    <row r="22" spans="1:31" x14ac:dyDescent="0.2">
      <c r="A22" s="122"/>
      <c r="B22" s="122"/>
      <c r="C22" s="233"/>
      <c r="D22" s="139">
        <v>3</v>
      </c>
      <c r="E22" s="191" t="str">
        <f>VLOOKUP(1,X7:Z10,3,0)</f>
        <v>SSV Jahn Futsal</v>
      </c>
      <c r="F22" s="137"/>
      <c r="G22" s="183">
        <v>3</v>
      </c>
      <c r="H22" s="304" t="str">
        <f>VLOOKUP(1,X12:Z15,3,0)</f>
        <v>JFG Haidau</v>
      </c>
      <c r="I22" s="304"/>
      <c r="J22" s="304"/>
      <c r="K22" s="304"/>
      <c r="L22" s="304"/>
      <c r="M22" s="304"/>
      <c r="N22" s="304"/>
      <c r="O22" s="184"/>
      <c r="P22" s="137"/>
      <c r="Q22" s="137"/>
    </row>
    <row r="23" spans="1:31" x14ac:dyDescent="0.2">
      <c r="A23" s="122"/>
      <c r="B23" s="122"/>
      <c r="C23" s="233"/>
      <c r="D23" s="192">
        <v>4</v>
      </c>
      <c r="E23" s="193" t="str">
        <f>VLOOKUP(0,X7:Z10,3,0)</f>
        <v>JFG 3 Schlösser-Eck</v>
      </c>
      <c r="F23" s="137"/>
      <c r="G23" s="194">
        <v>4</v>
      </c>
      <c r="H23" s="305" t="str">
        <f>VLOOKUP(0,X12:Z15,3,0)</f>
        <v>JFG FR Seubersdorf</v>
      </c>
      <c r="I23" s="305"/>
      <c r="J23" s="305"/>
      <c r="K23" s="305"/>
      <c r="L23" s="305"/>
      <c r="M23" s="305"/>
      <c r="N23" s="305"/>
      <c r="O23" s="184"/>
      <c r="P23" s="137"/>
      <c r="Q23" s="137"/>
    </row>
    <row r="24" spans="1:31" x14ac:dyDescent="0.2">
      <c r="A24" s="289" t="s">
        <v>70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194"/>
      <c r="S24" s="300" t="s">
        <v>62</v>
      </c>
      <c r="T24" s="300"/>
      <c r="U24" s="300"/>
      <c r="V24" s="254"/>
      <c r="W24" s="321" t="s">
        <v>63</v>
      </c>
      <c r="X24" s="321"/>
      <c r="Y24" s="321"/>
    </row>
    <row r="25" spans="1:31" x14ac:dyDescent="0.2">
      <c r="A25" s="200"/>
      <c r="B25" s="200"/>
      <c r="C25" s="236"/>
      <c r="D25" s="139"/>
      <c r="E25" s="239" t="s">
        <v>64</v>
      </c>
      <c r="F25" s="239"/>
      <c r="G25" s="316" t="s">
        <v>65</v>
      </c>
      <c r="H25" s="316"/>
      <c r="I25" s="316"/>
      <c r="J25" s="316"/>
      <c r="K25" s="316"/>
      <c r="L25" s="316"/>
      <c r="M25" s="316"/>
      <c r="N25" s="316"/>
      <c r="O25" s="239"/>
      <c r="P25" s="239"/>
      <c r="Q25" s="239"/>
      <c r="R25" s="255"/>
      <c r="S25" s="183"/>
      <c r="T25" s="183"/>
      <c r="U25" s="183"/>
      <c r="V25" s="256"/>
      <c r="W25" s="235"/>
      <c r="X25" s="235"/>
      <c r="Y25" s="235"/>
    </row>
    <row r="26" spans="1:31" x14ac:dyDescent="0.2">
      <c r="A26" s="139">
        <v>13</v>
      </c>
      <c r="B26" s="139" t="s">
        <v>66</v>
      </c>
      <c r="C26" s="226">
        <f>C17+$S$5</f>
        <v>0.50000000000000033</v>
      </c>
      <c r="D26" s="139"/>
      <c r="E26" s="239" t="str">
        <f>E20</f>
        <v>JFG Naab-Regen</v>
      </c>
      <c r="F26" s="239" t="s">
        <v>10</v>
      </c>
      <c r="G26" s="316" t="str">
        <f>H21</f>
        <v>JFG Kickers Labertal</v>
      </c>
      <c r="H26" s="316"/>
      <c r="I26" s="316"/>
      <c r="J26" s="316"/>
      <c r="K26" s="316"/>
      <c r="L26" s="316"/>
      <c r="M26" s="316"/>
      <c r="N26" s="316"/>
      <c r="O26" s="239">
        <f>SUM(S26+W26)</f>
        <v>2</v>
      </c>
      <c r="P26" s="239" t="s">
        <v>28</v>
      </c>
      <c r="Q26" s="239">
        <f>SUM(U26+Y26)</f>
        <v>0</v>
      </c>
      <c r="R26" s="255"/>
      <c r="S26" s="183">
        <v>2</v>
      </c>
      <c r="T26" s="125" t="s">
        <v>28</v>
      </c>
      <c r="U26" s="125">
        <v>0</v>
      </c>
      <c r="V26" s="256"/>
      <c r="W26" s="235"/>
      <c r="X26" s="235" t="s">
        <v>28</v>
      </c>
      <c r="Y26" s="235"/>
    </row>
    <row r="27" spans="1:31" x14ac:dyDescent="0.2">
      <c r="A27" s="139"/>
      <c r="B27" s="139"/>
      <c r="C27" s="226"/>
      <c r="D27" s="139"/>
      <c r="E27" s="239" t="s">
        <v>68</v>
      </c>
      <c r="F27" s="239"/>
      <c r="G27" s="316" t="s">
        <v>69</v>
      </c>
      <c r="H27" s="316"/>
      <c r="I27" s="316"/>
      <c r="J27" s="316"/>
      <c r="K27" s="316"/>
      <c r="L27" s="316"/>
      <c r="M27" s="316"/>
      <c r="N27" s="316"/>
      <c r="O27" s="240"/>
      <c r="P27" s="240"/>
      <c r="Q27" s="240"/>
      <c r="R27" s="255"/>
      <c r="S27" s="183"/>
      <c r="T27" s="183"/>
      <c r="U27" s="125"/>
      <c r="V27" s="256"/>
      <c r="W27" s="235"/>
      <c r="X27" s="235"/>
      <c r="Y27" s="235"/>
    </row>
    <row r="28" spans="1:31" x14ac:dyDescent="0.2">
      <c r="A28" s="139">
        <v>14</v>
      </c>
      <c r="B28" s="139" t="s">
        <v>67</v>
      </c>
      <c r="C28" s="226">
        <f>C26+$S$4</f>
        <v>0.50833333333333364</v>
      </c>
      <c r="D28" s="139"/>
      <c r="E28" s="239" t="str">
        <f>H20</f>
        <v>SG TB/ASV Regenstauf</v>
      </c>
      <c r="F28" s="239" t="s">
        <v>10</v>
      </c>
      <c r="G28" s="316" t="str">
        <f>E21</f>
        <v>TSV Neutraubling</v>
      </c>
      <c r="H28" s="316"/>
      <c r="I28" s="316"/>
      <c r="J28" s="316"/>
      <c r="K28" s="316"/>
      <c r="L28" s="316"/>
      <c r="M28" s="316"/>
      <c r="N28" s="316"/>
      <c r="O28" s="239">
        <f>SUM(S28+W28)</f>
        <v>1</v>
      </c>
      <c r="P28" s="239" t="s">
        <v>28</v>
      </c>
      <c r="Q28" s="239">
        <f>SUM(U28+Y28)</f>
        <v>0</v>
      </c>
      <c r="R28" s="255"/>
      <c r="S28" s="183">
        <v>1</v>
      </c>
      <c r="T28" s="125" t="s">
        <v>28</v>
      </c>
      <c r="U28" s="125">
        <v>0</v>
      </c>
      <c r="V28" s="256"/>
      <c r="W28" s="235"/>
      <c r="X28" s="235" t="s">
        <v>28</v>
      </c>
      <c r="Y28" s="235"/>
    </row>
    <row r="29" spans="1:31" x14ac:dyDescent="0.2">
      <c r="A29" s="139"/>
      <c r="B29" s="139"/>
      <c r="C29" s="226"/>
      <c r="D29" s="139"/>
      <c r="E29" s="119" t="s">
        <v>71</v>
      </c>
      <c r="G29" s="320" t="s">
        <v>72</v>
      </c>
      <c r="H29" s="320"/>
      <c r="I29" s="320"/>
      <c r="J29" s="320"/>
      <c r="K29" s="320"/>
      <c r="L29" s="320"/>
      <c r="M29" s="320"/>
      <c r="N29" s="320"/>
      <c r="O29" s="240"/>
      <c r="P29" s="240"/>
      <c r="Q29" s="240"/>
      <c r="R29" s="255"/>
      <c r="S29" s="183"/>
      <c r="T29" s="183"/>
      <c r="U29" s="125"/>
      <c r="V29" s="256"/>
      <c r="W29" s="235"/>
      <c r="X29" s="235"/>
      <c r="Y29" s="235"/>
    </row>
    <row r="30" spans="1:31" x14ac:dyDescent="0.2">
      <c r="A30" s="139">
        <v>15</v>
      </c>
      <c r="B30" s="139" t="s">
        <v>66</v>
      </c>
      <c r="C30" s="226">
        <f>C28+$S$4</f>
        <v>0.51666666666666694</v>
      </c>
      <c r="D30" s="139"/>
      <c r="E30" s="238" t="str">
        <f>E23</f>
        <v>JFG 3 Schlösser-Eck</v>
      </c>
      <c r="F30" s="238" t="s">
        <v>10</v>
      </c>
      <c r="G30" s="317" t="str">
        <f>H23</f>
        <v>JFG FR Seubersdorf</v>
      </c>
      <c r="H30" s="317"/>
      <c r="I30" s="317"/>
      <c r="J30" s="317"/>
      <c r="K30" s="317"/>
      <c r="L30" s="317"/>
      <c r="M30" s="317"/>
      <c r="N30" s="317"/>
      <c r="O30" s="239">
        <f>SUM(S30+W30)</f>
        <v>4</v>
      </c>
      <c r="P30" s="238" t="s">
        <v>28</v>
      </c>
      <c r="Q30" s="239">
        <f>SUM(U30+Y30)</f>
        <v>1</v>
      </c>
      <c r="R30" s="255"/>
      <c r="S30" s="183">
        <v>4</v>
      </c>
      <c r="T30" s="125" t="s">
        <v>28</v>
      </c>
      <c r="U30" s="125">
        <v>1</v>
      </c>
      <c r="V30" s="256"/>
      <c r="W30" s="235"/>
      <c r="X30" s="235" t="s">
        <v>28</v>
      </c>
      <c r="Y30" s="235"/>
    </row>
    <row r="31" spans="1:31" x14ac:dyDescent="0.2">
      <c r="A31" s="139"/>
      <c r="B31" s="139"/>
      <c r="C31" s="226"/>
      <c r="D31" s="139"/>
      <c r="E31" s="235" t="s">
        <v>73</v>
      </c>
      <c r="F31" s="257"/>
      <c r="G31" s="316" t="s">
        <v>74</v>
      </c>
      <c r="H31" s="316"/>
      <c r="I31" s="316"/>
      <c r="J31" s="316"/>
      <c r="K31" s="316"/>
      <c r="L31" s="316"/>
      <c r="M31" s="316"/>
      <c r="N31" s="316"/>
      <c r="O31" s="240"/>
      <c r="P31" s="240"/>
      <c r="Q31" s="240"/>
      <c r="R31" s="255"/>
      <c r="S31" s="240"/>
      <c r="T31" s="183"/>
      <c r="U31" s="240"/>
      <c r="V31" s="256"/>
      <c r="W31" s="235"/>
      <c r="X31" s="235"/>
      <c r="Y31" s="235"/>
    </row>
    <row r="32" spans="1:31" x14ac:dyDescent="0.2">
      <c r="A32" s="139">
        <v>16</v>
      </c>
      <c r="B32" s="139" t="s">
        <v>105</v>
      </c>
      <c r="C32" s="226">
        <f>C30+$S$4</f>
        <v>0.52500000000000024</v>
      </c>
      <c r="D32" s="139"/>
      <c r="E32" s="238" t="str">
        <f>E22</f>
        <v>SSV Jahn Futsal</v>
      </c>
      <c r="F32" s="238" t="s">
        <v>10</v>
      </c>
      <c r="G32" s="317" t="str">
        <f>H22</f>
        <v>JFG Haidau</v>
      </c>
      <c r="H32" s="317"/>
      <c r="I32" s="317"/>
      <c r="J32" s="317"/>
      <c r="K32" s="317"/>
      <c r="L32" s="317"/>
      <c r="M32" s="317"/>
      <c r="N32" s="317"/>
      <c r="O32" s="239">
        <f>SUM(S32+W32)</f>
        <v>3</v>
      </c>
      <c r="P32" s="238" t="s">
        <v>28</v>
      </c>
      <c r="Q32" s="239">
        <v>2</v>
      </c>
      <c r="R32" s="255"/>
      <c r="S32" s="183">
        <v>1</v>
      </c>
      <c r="T32" s="125" t="s">
        <v>28</v>
      </c>
      <c r="U32" s="125">
        <v>1</v>
      </c>
      <c r="V32" s="256"/>
      <c r="W32" s="235">
        <v>2</v>
      </c>
      <c r="X32" s="235" t="s">
        <v>28</v>
      </c>
      <c r="Y32" s="324">
        <v>1</v>
      </c>
    </row>
    <row r="33" spans="1:25" x14ac:dyDescent="0.2">
      <c r="A33" s="139"/>
      <c r="B33" s="139"/>
      <c r="C33" s="226"/>
      <c r="D33" s="139"/>
      <c r="E33" s="198" t="s">
        <v>76</v>
      </c>
      <c r="F33" s="257"/>
      <c r="G33" s="316" t="s">
        <v>77</v>
      </c>
      <c r="H33" s="316"/>
      <c r="I33" s="316"/>
      <c r="J33" s="316"/>
      <c r="K33" s="316"/>
      <c r="L33" s="316"/>
      <c r="M33" s="316"/>
      <c r="N33" s="316"/>
      <c r="O33" s="240"/>
      <c r="P33" s="240"/>
      <c r="Q33" s="240"/>
      <c r="R33" s="255"/>
      <c r="S33" s="183"/>
      <c r="T33" s="183"/>
      <c r="U33" s="125"/>
      <c r="V33" s="256"/>
      <c r="W33" s="235"/>
      <c r="X33" s="235"/>
      <c r="Y33" s="235"/>
    </row>
    <row r="34" spans="1:25" x14ac:dyDescent="0.2">
      <c r="A34" s="139">
        <v>17</v>
      </c>
      <c r="B34" s="139" t="s">
        <v>66</v>
      </c>
      <c r="C34" s="226">
        <f>C32+$S$4</f>
        <v>0.53333333333333355</v>
      </c>
      <c r="D34" s="139"/>
      <c r="E34" s="241" t="str">
        <f>IF(O26+Q26=0,0,IF(Q26&gt;O26,E26,G26))</f>
        <v>JFG Kickers Labertal</v>
      </c>
      <c r="F34" s="239" t="s">
        <v>10</v>
      </c>
      <c r="G34" s="316" t="str">
        <f>IF(O28+Q28=0,0,IF(O28&lt;Q28,E28,G28))</f>
        <v>TSV Neutraubling</v>
      </c>
      <c r="H34" s="316"/>
      <c r="I34" s="316"/>
      <c r="J34" s="316"/>
      <c r="K34" s="316"/>
      <c r="L34" s="316"/>
      <c r="M34" s="316"/>
      <c r="N34" s="316"/>
      <c r="O34" s="239">
        <f>SUM(S34+W34)</f>
        <v>2</v>
      </c>
      <c r="P34" s="239" t="s">
        <v>28</v>
      </c>
      <c r="Q34" s="239">
        <f>SUM(U34+Y34)</f>
        <v>1</v>
      </c>
      <c r="R34" s="255"/>
      <c r="S34" s="183">
        <v>2</v>
      </c>
      <c r="T34" s="125" t="s">
        <v>28</v>
      </c>
      <c r="U34" s="125">
        <v>1</v>
      </c>
      <c r="V34" s="256"/>
      <c r="W34" s="235"/>
      <c r="X34" s="235" t="s">
        <v>28</v>
      </c>
      <c r="Y34" s="235"/>
    </row>
    <row r="35" spans="1:25" x14ac:dyDescent="0.2">
      <c r="A35" s="139"/>
      <c r="B35" s="139"/>
      <c r="C35" s="226"/>
      <c r="D35" s="139"/>
      <c r="E35" s="199" t="s">
        <v>79</v>
      </c>
      <c r="F35" s="257"/>
      <c r="G35" s="322" t="s">
        <v>80</v>
      </c>
      <c r="H35" s="322"/>
      <c r="I35" s="322"/>
      <c r="J35" s="322"/>
      <c r="K35" s="322"/>
      <c r="L35" s="322"/>
      <c r="M35" s="322"/>
      <c r="N35" s="322"/>
      <c r="O35" s="240"/>
      <c r="P35" s="240"/>
      <c r="Q35" s="240"/>
      <c r="R35" s="255"/>
      <c r="S35" s="183"/>
      <c r="T35" s="183"/>
      <c r="U35" s="125"/>
      <c r="V35" s="256"/>
      <c r="W35" s="235"/>
      <c r="X35" s="235"/>
      <c r="Y35" s="235"/>
    </row>
    <row r="36" spans="1:25" x14ac:dyDescent="0.2">
      <c r="A36" s="139">
        <v>18</v>
      </c>
      <c r="B36" s="139" t="s">
        <v>106</v>
      </c>
      <c r="C36" s="226">
        <f>C34+$S$4</f>
        <v>0.54166666666666685</v>
      </c>
      <c r="D36" s="139"/>
      <c r="E36" s="241" t="str">
        <f>IF(O26+Q26=0,0,IF(O26&gt;Q26,E26,G26))</f>
        <v>JFG Naab-Regen</v>
      </c>
      <c r="F36" s="239" t="s">
        <v>10</v>
      </c>
      <c r="G36" s="316" t="str">
        <f>IF(O28+Q28=0,0,IF(O28&gt;Q28,E28,G28))</f>
        <v>SG TB/ASV Regenstauf</v>
      </c>
      <c r="H36" s="316"/>
      <c r="I36" s="316"/>
      <c r="J36" s="316"/>
      <c r="K36" s="316"/>
      <c r="L36" s="316"/>
      <c r="M36" s="316"/>
      <c r="N36" s="316"/>
      <c r="O36" s="239">
        <f>SUM(S36+W36)</f>
        <v>2</v>
      </c>
      <c r="P36" s="239" t="s">
        <v>28</v>
      </c>
      <c r="Q36" s="239">
        <f>SUM(U36+Y36)</f>
        <v>0</v>
      </c>
      <c r="R36" s="258"/>
      <c r="S36" s="183">
        <v>0</v>
      </c>
      <c r="T36" s="125" t="s">
        <v>28</v>
      </c>
      <c r="U36" s="125">
        <v>0</v>
      </c>
      <c r="V36" s="259"/>
      <c r="W36" s="235">
        <v>2</v>
      </c>
      <c r="X36" s="235" t="s">
        <v>28</v>
      </c>
      <c r="Y36" s="235">
        <v>0</v>
      </c>
    </row>
    <row r="37" spans="1:25" x14ac:dyDescent="0.2">
      <c r="A37" s="122"/>
      <c r="B37" s="122"/>
      <c r="C37" s="226">
        <f>C36+S4</f>
        <v>0.55000000000000016</v>
      </c>
      <c r="D37" s="122"/>
      <c r="E37" s="122" t="s">
        <v>95</v>
      </c>
      <c r="F37" s="136"/>
      <c r="G37" s="137"/>
      <c r="H37" s="137"/>
      <c r="I37" s="126"/>
      <c r="J37" s="126"/>
      <c r="K37" s="126"/>
      <c r="L37" s="126"/>
      <c r="M37" s="126"/>
      <c r="N37" s="126"/>
      <c r="O37" s="137"/>
      <c r="P37" s="126"/>
      <c r="Q37" s="126"/>
    </row>
    <row r="38" spans="1:25" x14ac:dyDescent="0.2">
      <c r="A38" s="122"/>
      <c r="B38" s="122"/>
      <c r="C38" s="233" t="s">
        <v>0</v>
      </c>
      <c r="D38" s="122">
        <v>8</v>
      </c>
      <c r="E38" s="216" t="str">
        <f>IF(O30+Q30=0,0,IF(O30&lt;Q30,E30,G30))</f>
        <v>JFG FR Seubersdorf</v>
      </c>
      <c r="F38" s="136"/>
      <c r="G38" s="138"/>
      <c r="H38" s="217"/>
      <c r="I38" s="217"/>
      <c r="J38" s="217"/>
      <c r="K38" s="217"/>
      <c r="L38" s="217"/>
      <c r="M38" s="217"/>
      <c r="N38" s="217"/>
      <c r="O38" s="137"/>
      <c r="P38" s="126"/>
      <c r="Q38" s="126"/>
      <c r="R38" s="122"/>
      <c r="S38" s="126"/>
      <c r="T38" s="126"/>
      <c r="U38" s="122"/>
      <c r="V38" s="122"/>
    </row>
    <row r="39" spans="1:25" x14ac:dyDescent="0.2">
      <c r="A39" s="122"/>
      <c r="B39" s="122"/>
      <c r="C39" s="233" t="s">
        <v>0</v>
      </c>
      <c r="D39" s="122">
        <v>7</v>
      </c>
      <c r="E39" s="216" t="str">
        <f>IF(O30+Q30=0,0,IF(O30&gt;Q30,E30,G30))</f>
        <v>JFG 3 Schlösser-Eck</v>
      </c>
      <c r="F39" s="242"/>
      <c r="G39" s="137"/>
      <c r="H39" s="137"/>
      <c r="I39" s="126"/>
      <c r="J39" s="126"/>
      <c r="K39" s="126"/>
      <c r="L39" s="126"/>
      <c r="M39" s="126"/>
      <c r="N39" s="126"/>
      <c r="O39" s="137"/>
      <c r="P39" s="126"/>
      <c r="Q39" s="126"/>
      <c r="R39" s="126"/>
      <c r="S39" s="126"/>
      <c r="T39" s="126"/>
      <c r="U39" s="122"/>
      <c r="V39" s="122"/>
    </row>
    <row r="40" spans="1:25" x14ac:dyDescent="0.2">
      <c r="A40" s="122"/>
      <c r="B40" s="122"/>
      <c r="C40" s="233" t="s">
        <v>0</v>
      </c>
      <c r="D40" s="122">
        <v>6</v>
      </c>
      <c r="E40" s="216" t="str">
        <f>IF(O32+Q32=0,0,IF(O32&lt;Q32,E32,G32))</f>
        <v>JFG Haidau</v>
      </c>
      <c r="F40" s="242"/>
      <c r="G40" s="121"/>
      <c r="H40" s="137"/>
      <c r="I40" s="126"/>
      <c r="J40" s="126"/>
      <c r="K40" s="122"/>
      <c r="L40" s="122"/>
      <c r="M40" s="122"/>
      <c r="N40" s="122"/>
      <c r="O40" s="122"/>
      <c r="P40" s="122"/>
      <c r="Q40" s="122"/>
      <c r="R40" s="126"/>
      <c r="S40" s="126"/>
      <c r="T40" s="126"/>
      <c r="U40" s="122"/>
      <c r="V40" s="122"/>
    </row>
    <row r="41" spans="1:25" x14ac:dyDescent="0.2">
      <c r="A41" s="122"/>
      <c r="B41" s="122"/>
      <c r="C41" s="233" t="s">
        <v>0</v>
      </c>
      <c r="D41" s="122">
        <v>5</v>
      </c>
      <c r="E41" s="216" t="str">
        <f>IF(O32+Q32=0,0,IF(O32&gt;Q32,E32,G32))</f>
        <v>SSV Jahn Futsal</v>
      </c>
      <c r="F41" s="219"/>
      <c r="G41" s="137"/>
      <c r="H41" s="137"/>
      <c r="I41" s="126"/>
      <c r="J41" s="126"/>
      <c r="K41" s="126"/>
      <c r="L41" s="126"/>
      <c r="M41" s="126"/>
      <c r="N41" s="126"/>
      <c r="O41" s="137"/>
      <c r="P41" s="126"/>
      <c r="Q41" s="126"/>
      <c r="R41" s="126"/>
      <c r="S41" s="126"/>
      <c r="T41" s="126"/>
      <c r="U41" s="122"/>
      <c r="V41" s="122"/>
    </row>
    <row r="42" spans="1:25" x14ac:dyDescent="0.2">
      <c r="A42" s="122"/>
      <c r="B42" s="122"/>
      <c r="C42" s="233" t="s">
        <v>0</v>
      </c>
      <c r="D42" s="122">
        <v>4</v>
      </c>
      <c r="E42" s="219" t="str">
        <f>IF(O34+Q34=0,0,IF(O34&lt;Q34,E34,G34))</f>
        <v>TSV Neutraubling</v>
      </c>
      <c r="G42" s="137"/>
      <c r="H42" s="137"/>
      <c r="I42" s="126"/>
      <c r="J42" s="126"/>
      <c r="K42" s="126"/>
      <c r="L42" s="126"/>
      <c r="M42" s="126"/>
      <c r="N42" s="126"/>
      <c r="O42" s="137"/>
      <c r="P42" s="126"/>
      <c r="Q42" s="126"/>
      <c r="R42" s="126"/>
      <c r="S42" s="126"/>
      <c r="T42" s="126"/>
      <c r="U42" s="122"/>
      <c r="V42" s="122"/>
    </row>
    <row r="43" spans="1:25" x14ac:dyDescent="0.2">
      <c r="A43" s="122"/>
      <c r="B43" s="122"/>
      <c r="C43" s="233" t="s">
        <v>0</v>
      </c>
      <c r="D43" s="122">
        <v>3</v>
      </c>
      <c r="E43" s="219" t="str">
        <f>IF(O34+Q34=0,0,IF(O34&gt;Q34,E34,G34))</f>
        <v>JFG Kickers Labertal</v>
      </c>
      <c r="F43" s="136"/>
      <c r="G43" s="137"/>
      <c r="H43" s="137"/>
      <c r="I43" s="126"/>
      <c r="J43" s="126"/>
      <c r="K43" s="126"/>
      <c r="L43" s="126"/>
      <c r="M43" s="126"/>
      <c r="N43" s="126"/>
      <c r="O43" s="137"/>
      <c r="P43" s="126"/>
      <c r="Q43" s="126"/>
      <c r="R43" s="126"/>
      <c r="S43" s="126"/>
      <c r="T43" s="126"/>
      <c r="U43" s="122"/>
      <c r="V43" s="122"/>
    </row>
    <row r="44" spans="1:25" x14ac:dyDescent="0.2">
      <c r="A44" s="122"/>
      <c r="B44" s="122"/>
      <c r="C44" s="233" t="s">
        <v>0</v>
      </c>
      <c r="D44" s="122">
        <v>2</v>
      </c>
      <c r="E44" s="219" t="str">
        <f>IF(O36+Q36=0,0,IF(O36&lt;Q36,E36,G36))</f>
        <v>SG TB/ASV Regenstauf</v>
      </c>
      <c r="G44" s="137"/>
      <c r="H44" s="137"/>
      <c r="I44" s="126"/>
      <c r="J44" s="126"/>
      <c r="K44" s="126"/>
      <c r="L44" s="126"/>
      <c r="M44" s="126"/>
      <c r="N44" s="126"/>
      <c r="O44" s="137"/>
      <c r="P44" s="126"/>
      <c r="Q44" s="126"/>
      <c r="R44" s="126"/>
      <c r="S44" s="126"/>
      <c r="T44" s="126"/>
      <c r="U44" s="122"/>
      <c r="V44" s="122"/>
    </row>
    <row r="45" spans="1:25" x14ac:dyDescent="0.2">
      <c r="A45" s="122"/>
      <c r="B45" s="122"/>
      <c r="C45" s="233" t="s">
        <v>0</v>
      </c>
      <c r="D45" s="122">
        <v>1</v>
      </c>
      <c r="E45" s="219" t="str">
        <f>IF(O36+Q36=0,0,IF(O36&gt;Q36,E36,G36))</f>
        <v>JFG Naab-Regen</v>
      </c>
      <c r="F45" s="136"/>
      <c r="G45" s="137"/>
      <c r="H45" s="137"/>
      <c r="I45" s="126"/>
      <c r="J45" s="126"/>
      <c r="K45" s="126"/>
      <c r="L45" s="126"/>
      <c r="M45" s="126"/>
      <c r="N45" s="126"/>
      <c r="O45" s="137"/>
      <c r="P45" s="126"/>
      <c r="Q45" s="126"/>
    </row>
    <row r="46" spans="1:25" x14ac:dyDescent="0.2">
      <c r="A46" s="122"/>
      <c r="B46" s="122"/>
      <c r="C46" s="233"/>
      <c r="D46" s="122"/>
      <c r="E46" s="135"/>
      <c r="F46" s="122">
        <f>A36</f>
        <v>18</v>
      </c>
      <c r="G46" s="137"/>
      <c r="H46" s="137"/>
      <c r="I46" s="126"/>
      <c r="J46" s="126"/>
      <c r="K46" s="126"/>
      <c r="L46" s="126"/>
      <c r="M46" s="126"/>
      <c r="N46" s="126"/>
      <c r="O46" s="137"/>
      <c r="P46" s="126"/>
      <c r="Q46" s="126"/>
    </row>
    <row r="47" spans="1:25" x14ac:dyDescent="0.2">
      <c r="F47" s="260">
        <f>SUM(O5:O16,Q5:Q16,S26:S36,U26:U36)</f>
        <v>42</v>
      </c>
    </row>
    <row r="48" spans="1:25" x14ac:dyDescent="0.2">
      <c r="F48" s="220">
        <f>SUM(F47/18)</f>
        <v>2.3333333333333335</v>
      </c>
    </row>
  </sheetData>
  <sheetProtection selectLockedCells="1" selectUnlockedCells="1"/>
  <mergeCells count="43">
    <mergeCell ref="G36:N36"/>
    <mergeCell ref="G30:N30"/>
    <mergeCell ref="G31:N31"/>
    <mergeCell ref="G32:N32"/>
    <mergeCell ref="G33:N33"/>
    <mergeCell ref="G34:N34"/>
    <mergeCell ref="G35:N35"/>
    <mergeCell ref="W24:Y24"/>
    <mergeCell ref="G25:N25"/>
    <mergeCell ref="G26:N26"/>
    <mergeCell ref="G27:N27"/>
    <mergeCell ref="G28:N28"/>
    <mergeCell ref="S24:U24"/>
    <mergeCell ref="G29:N29"/>
    <mergeCell ref="H20:N20"/>
    <mergeCell ref="H21:N21"/>
    <mergeCell ref="H22:N22"/>
    <mergeCell ref="H23:N23"/>
    <mergeCell ref="A24:Q24"/>
    <mergeCell ref="H19:N19"/>
    <mergeCell ref="G6:N6"/>
    <mergeCell ref="G7:N7"/>
    <mergeCell ref="G8:N8"/>
    <mergeCell ref="G9:N9"/>
    <mergeCell ref="G10:N10"/>
    <mergeCell ref="G11:N11"/>
    <mergeCell ref="G12:N12"/>
    <mergeCell ref="G13:N13"/>
    <mergeCell ref="G14:N14"/>
    <mergeCell ref="G15:N15"/>
    <mergeCell ref="G16:N16"/>
    <mergeCell ref="A4:D4"/>
    <mergeCell ref="G4:K4"/>
    <mergeCell ref="L4:O4"/>
    <mergeCell ref="S4:U4"/>
    <mergeCell ref="G5:N5"/>
    <mergeCell ref="S5:U5"/>
    <mergeCell ref="A3:Q3"/>
    <mergeCell ref="A1:Q1"/>
    <mergeCell ref="A2:E2"/>
    <mergeCell ref="H2:I2"/>
    <mergeCell ref="K2:L2"/>
    <mergeCell ref="M2:N2"/>
  </mergeCells>
  <conditionalFormatting sqref="E5:G6 E10 E13:G14 F9:G10 O5:Q16">
    <cfRule type="expression" dxfId="13" priority="1" stopIfTrue="1">
      <formula>(ISBLANK($O5)=0)</formula>
    </cfRule>
  </conditionalFormatting>
  <conditionalFormatting sqref="E7:G8 E11:F12 E15:G16 E25:G26 E28:G28 E34:F34 E36:G36 G12 G33:G36 O25:Q26 O28:Q28 O30 O32 O34:Q34 O36:Q36 Q30 Q32">
    <cfRule type="expression" dxfId="12" priority="2" stopIfTrue="1">
      <formula>#N/A</formula>
    </cfRule>
  </conditionalFormatting>
  <conditionalFormatting sqref="E9">
    <cfRule type="expression" dxfId="11" priority="3" stopIfTrue="1">
      <formula>(ISBLANK($O9)=0)</formula>
    </cfRule>
  </conditionalFormatting>
  <conditionalFormatting sqref="E27:G27">
    <cfRule type="expression" dxfId="10" priority="4" stopIfTrue="1">
      <formula>(ISBLANK($O27)=0)</formula>
    </cfRule>
  </conditionalFormatting>
  <conditionalFormatting sqref="E30:G30 E32:G32 P30 P32">
    <cfRule type="expression" dxfId="9" priority="5" stopIfTrue="1">
      <formula>(ISBLANK($O30)=0)</formula>
    </cfRule>
  </conditionalFormatting>
  <conditionalFormatting sqref="G11">
    <cfRule type="expression" dxfId="8" priority="6" stopIfTrue="1">
      <formula>0</formula>
    </cfRule>
  </conditionalFormatting>
  <conditionalFormatting sqref="G31">
    <cfRule type="expression" dxfId="7" priority="7" stopIfTrue="1">
      <formula>#N/A</formula>
    </cfRule>
  </conditionalFormatting>
  <pageMargins left="0.7" right="0.7" top="1.575" bottom="1.575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48"/>
  <sheetViews>
    <sheetView tabSelected="1" zoomScale="85" zoomScaleNormal="85" workbookViewId="0">
      <selection activeCell="AD31" sqref="AD31"/>
    </sheetView>
  </sheetViews>
  <sheetFormatPr baseColWidth="10" defaultColWidth="3.140625" defaultRowHeight="14.25" x14ac:dyDescent="0.2"/>
  <cols>
    <col min="1" max="1" width="3.140625" style="117"/>
    <col min="2" max="2" width="3.42578125" style="117" customWidth="1"/>
    <col min="3" max="3" width="5.85546875" style="221" customWidth="1"/>
    <col min="4" max="4" width="2" style="117" customWidth="1"/>
    <col min="5" max="5" width="26.85546875" style="117" customWidth="1"/>
    <col min="6" max="6" width="4.85546875" style="117" customWidth="1"/>
    <col min="7" max="15" width="3.28515625" style="117" customWidth="1"/>
    <col min="16" max="16" width="1.85546875" style="117" customWidth="1"/>
    <col min="17" max="18" width="3.28515625" style="117" customWidth="1"/>
    <col min="19" max="19" width="4.42578125" style="117" customWidth="1"/>
    <col min="20" max="25" width="3.28515625" style="117" customWidth="1"/>
    <col min="26" max="26" width="23.140625" style="117" customWidth="1"/>
    <col min="27" max="41" width="3.28515625" style="117" customWidth="1"/>
    <col min="42" max="42" width="5.5703125" style="117" customWidth="1"/>
    <col min="43" max="43" width="8.7109375" style="117" customWidth="1"/>
    <col min="44" max="254" width="12.28515625" style="117" customWidth="1"/>
    <col min="255" max="255" width="2.7109375" style="117" customWidth="1"/>
    <col min="256" max="16384" width="3.140625" style="117"/>
  </cols>
  <sheetData>
    <row r="1" spans="1:43" s="122" customFormat="1" ht="12.75" x14ac:dyDescent="0.2">
      <c r="A1" s="290" t="s">
        <v>97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43" s="122" customFormat="1" ht="12.75" x14ac:dyDescent="0.2">
      <c r="A2" s="291">
        <v>43484</v>
      </c>
      <c r="B2" s="291"/>
      <c r="C2" s="291"/>
      <c r="D2" s="291"/>
      <c r="E2" s="291"/>
      <c r="F2" s="124"/>
      <c r="G2" s="124" t="s">
        <v>49</v>
      </c>
      <c r="H2" s="292">
        <v>0.39583333333333331</v>
      </c>
      <c r="I2" s="292"/>
      <c r="J2" s="121" t="s">
        <v>50</v>
      </c>
      <c r="K2" s="293">
        <f>C37</f>
        <v>0.39583333333333331</v>
      </c>
      <c r="L2" s="293"/>
      <c r="M2" s="294" t="s">
        <v>51</v>
      </c>
      <c r="N2" s="294"/>
      <c r="O2" s="121"/>
      <c r="P2" s="121"/>
      <c r="Q2" s="121"/>
      <c r="R2" s="121"/>
      <c r="S2" s="121"/>
      <c r="T2" s="121"/>
      <c r="U2" s="121"/>
      <c r="V2" s="121"/>
      <c r="W2" s="121"/>
    </row>
    <row r="3" spans="1:43" x14ac:dyDescent="0.2">
      <c r="A3" s="289" t="s">
        <v>52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126"/>
      <c r="S3" s="126"/>
      <c r="T3" s="126"/>
      <c r="U3" s="122"/>
      <c r="V3" s="122"/>
    </row>
    <row r="4" spans="1:43" x14ac:dyDescent="0.2">
      <c r="A4" s="295" t="s">
        <v>7</v>
      </c>
      <c r="B4" s="295"/>
      <c r="C4" s="295"/>
      <c r="D4" s="295"/>
      <c r="E4" s="190">
        <v>6.9444444444444441E-3</v>
      </c>
      <c r="F4" s="121"/>
      <c r="G4" s="311" t="s">
        <v>8</v>
      </c>
      <c r="H4" s="311"/>
      <c r="I4" s="311"/>
      <c r="J4" s="311"/>
      <c r="K4" s="311"/>
      <c r="L4" s="312">
        <v>1.3888888888888889E-3</v>
      </c>
      <c r="M4" s="312"/>
      <c r="N4" s="312"/>
      <c r="O4" s="312"/>
      <c r="P4" s="129"/>
      <c r="Q4" s="129"/>
      <c r="R4" s="126"/>
      <c r="S4" s="318"/>
      <c r="T4" s="318"/>
      <c r="U4" s="318"/>
      <c r="V4" s="122"/>
    </row>
    <row r="5" spans="1:43" x14ac:dyDescent="0.2">
      <c r="A5" s="130">
        <v>1</v>
      </c>
      <c r="B5" s="130" t="s">
        <v>9</v>
      </c>
      <c r="C5" s="222">
        <f>H2</f>
        <v>0.39583333333333331</v>
      </c>
      <c r="D5" s="130"/>
      <c r="E5" s="223" t="str">
        <f>Z7</f>
        <v>JFG Kickers Labertal</v>
      </c>
      <c r="F5" s="223" t="s">
        <v>10</v>
      </c>
      <c r="G5" s="299" t="str">
        <f>Z10</f>
        <v>Freier TuS Regensburg</v>
      </c>
      <c r="H5" s="299"/>
      <c r="I5" s="299"/>
      <c r="J5" s="299"/>
      <c r="K5" s="299"/>
      <c r="L5" s="299"/>
      <c r="M5" s="299"/>
      <c r="N5" s="299"/>
      <c r="O5" s="230">
        <v>0</v>
      </c>
      <c r="P5" s="230" t="s">
        <v>28</v>
      </c>
      <c r="Q5" s="230">
        <v>0</v>
      </c>
      <c r="S5" s="318"/>
      <c r="T5" s="318"/>
      <c r="U5" s="318"/>
      <c r="V5" s="122"/>
      <c r="W5" s="122"/>
      <c r="X5" s="121"/>
      <c r="Y5" s="122"/>
      <c r="Z5" s="135"/>
      <c r="AA5" s="136"/>
      <c r="AB5" s="137"/>
      <c r="AC5" s="137"/>
      <c r="AD5" s="126"/>
      <c r="AE5" s="126"/>
      <c r="AF5" s="126"/>
      <c r="AG5" s="126"/>
      <c r="AH5" s="126"/>
      <c r="AI5" s="126"/>
      <c r="AJ5" s="137"/>
      <c r="AK5" s="126"/>
      <c r="AL5" s="126"/>
      <c r="AM5" s="126"/>
      <c r="AN5" s="126"/>
      <c r="AO5" s="126"/>
      <c r="AP5" s="122"/>
    </row>
    <row r="6" spans="1:43" x14ac:dyDescent="0.2">
      <c r="A6" s="139">
        <v>2</v>
      </c>
      <c r="B6" s="139" t="s">
        <v>9</v>
      </c>
      <c r="C6" s="226">
        <f t="shared" ref="C6:C17" si="0">C5+$S$4</f>
        <v>0.39583333333333331</v>
      </c>
      <c r="D6" s="139"/>
      <c r="E6" s="228" t="str">
        <f>Z9</f>
        <v>JFG Naab-Regen</v>
      </c>
      <c r="F6" s="228" t="s">
        <v>10</v>
      </c>
      <c r="G6" s="301" t="str">
        <f>Z8</f>
        <v>TSV Neutraubling</v>
      </c>
      <c r="H6" s="301"/>
      <c r="I6" s="301"/>
      <c r="J6" s="301"/>
      <c r="K6" s="301"/>
      <c r="L6" s="301"/>
      <c r="M6" s="301"/>
      <c r="N6" s="301"/>
      <c r="O6" s="230">
        <v>3</v>
      </c>
      <c r="P6" s="230" t="s">
        <v>28</v>
      </c>
      <c r="Q6" s="230">
        <v>2</v>
      </c>
      <c r="S6" s="141"/>
      <c r="T6" s="141"/>
      <c r="U6" s="142"/>
      <c r="V6" s="122"/>
      <c r="W6" s="122"/>
      <c r="X6" s="121"/>
      <c r="Y6" s="143" t="s">
        <v>21</v>
      </c>
      <c r="Z6" s="144"/>
      <c r="AA6" s="243" t="s">
        <v>24</v>
      </c>
      <c r="AB6" s="244"/>
      <c r="AC6" s="245"/>
      <c r="AD6" s="246" t="s">
        <v>25</v>
      </c>
      <c r="AE6" s="247"/>
      <c r="AF6" s="248"/>
      <c r="AG6" s="246" t="s">
        <v>26</v>
      </c>
      <c r="AH6" s="247"/>
      <c r="AI6" s="248"/>
      <c r="AJ6" s="152" t="s">
        <v>22</v>
      </c>
      <c r="AK6" s="148" t="s">
        <v>23</v>
      </c>
      <c r="AL6" s="149"/>
      <c r="AM6" s="150"/>
      <c r="AN6" s="152"/>
      <c r="AO6" s="152" t="s">
        <v>98</v>
      </c>
      <c r="AP6" s="153"/>
    </row>
    <row r="7" spans="1:43" x14ac:dyDescent="0.2">
      <c r="A7" s="130">
        <v>3</v>
      </c>
      <c r="B7" s="139" t="s">
        <v>12</v>
      </c>
      <c r="C7" s="226">
        <f t="shared" si="0"/>
        <v>0.39583333333333331</v>
      </c>
      <c r="D7" s="139"/>
      <c r="E7" s="223" t="str">
        <f>Z12</f>
        <v>JFG Schwarze Laber</v>
      </c>
      <c r="F7" s="223" t="s">
        <v>10</v>
      </c>
      <c r="G7" s="301" t="str">
        <f>Z15</f>
        <v>VfB Regensburg</v>
      </c>
      <c r="H7" s="301"/>
      <c r="I7" s="301"/>
      <c r="J7" s="301"/>
      <c r="K7" s="301"/>
      <c r="L7" s="301"/>
      <c r="M7" s="301"/>
      <c r="N7" s="301"/>
      <c r="O7" s="230">
        <v>0</v>
      </c>
      <c r="P7" s="230" t="s">
        <v>28</v>
      </c>
      <c r="Q7" s="230">
        <v>0</v>
      </c>
      <c r="S7" s="126"/>
      <c r="T7" s="126"/>
      <c r="U7" s="122"/>
      <c r="V7" s="122"/>
      <c r="W7" s="186" t="str">
        <f>IF(AO7=0,"4",IF(AO7=1,"3",IF(AO7=2,"2",IF(AO7=3,"1",0))))</f>
        <v>1</v>
      </c>
      <c r="X7" s="121">
        <f>IF(AQ7&gt;AQ8,1,0)+IF(AQ7&gt;AQ9,1,0)+IF(AQ7&gt;AQ10,1,0)</f>
        <v>3</v>
      </c>
      <c r="Y7" s="153" t="s">
        <v>27</v>
      </c>
      <c r="Z7" s="157" t="s">
        <v>84</v>
      </c>
      <c r="AA7" s="158">
        <f>O5</f>
        <v>0</v>
      </c>
      <c r="AB7" s="158" t="str">
        <f>P5</f>
        <v>:</v>
      </c>
      <c r="AC7" s="158">
        <f>Q5</f>
        <v>0</v>
      </c>
      <c r="AD7" s="158">
        <f>O9</f>
        <v>2</v>
      </c>
      <c r="AE7" s="158" t="s">
        <v>28</v>
      </c>
      <c r="AF7" s="158">
        <f>Q9</f>
        <v>0</v>
      </c>
      <c r="AG7" s="158">
        <f>Q14</f>
        <v>3</v>
      </c>
      <c r="AH7" s="158" t="s">
        <v>28</v>
      </c>
      <c r="AI7" s="158">
        <f>O14</f>
        <v>1</v>
      </c>
      <c r="AJ7" s="231">
        <f>SUM(IF(AA7&gt;AC7,3,IF(AA7=AC7,1,IF(AA7&lt;AC7,0))))+SUM(IF(AD7&gt;AF7,3,IF(AD7=AF7,1,IF(AD7&lt;AF7,0))))+SUM(IF(AG7&gt;AI7,3,IF(AG7=AI7,1,IF(AG7&lt;AI7,0))))</f>
        <v>7</v>
      </c>
      <c r="AK7" s="158">
        <f>SUM(AA7+AD7+AG7)</f>
        <v>5</v>
      </c>
      <c r="AL7" s="158" t="s">
        <v>28</v>
      </c>
      <c r="AM7" s="158">
        <f>SUM(AC7+AF7+AI7)</f>
        <v>1</v>
      </c>
      <c r="AN7" s="158">
        <f>SUM(AK7-AM7)</f>
        <v>4</v>
      </c>
      <c r="AO7" s="160">
        <f>X7</f>
        <v>3</v>
      </c>
      <c r="AP7" s="161">
        <f>AJ7+AN7%</f>
        <v>7.04</v>
      </c>
      <c r="AQ7" s="162">
        <f>(AJ7*1000000)+(AN7*1000)+AK7</f>
        <v>7004005</v>
      </c>
    </row>
    <row r="8" spans="1:43" x14ac:dyDescent="0.2">
      <c r="A8" s="139">
        <v>4</v>
      </c>
      <c r="B8" s="139" t="s">
        <v>12</v>
      </c>
      <c r="C8" s="226">
        <f t="shared" si="0"/>
        <v>0.39583333333333331</v>
      </c>
      <c r="D8" s="139"/>
      <c r="E8" s="223" t="str">
        <f>Z14</f>
        <v>TSV Großberg</v>
      </c>
      <c r="F8" s="223" t="s">
        <v>10</v>
      </c>
      <c r="G8" s="301" t="str">
        <f>Z13</f>
        <v>SV Pfatter</v>
      </c>
      <c r="H8" s="301"/>
      <c r="I8" s="301"/>
      <c r="J8" s="301"/>
      <c r="K8" s="301"/>
      <c r="L8" s="301"/>
      <c r="M8" s="301"/>
      <c r="N8" s="301"/>
      <c r="O8" s="230">
        <v>2</v>
      </c>
      <c r="P8" s="230" t="s">
        <v>28</v>
      </c>
      <c r="Q8" s="230">
        <v>0</v>
      </c>
      <c r="S8" s="126"/>
      <c r="T8" s="126"/>
      <c r="U8" s="122"/>
      <c r="V8" s="122"/>
      <c r="W8" s="186" t="str">
        <f>IF(AO8=0,"4",IF(AO8=1,"3",IF(AO8=2,"2",IF(AO8=3,"1",0))))</f>
        <v>4</v>
      </c>
      <c r="X8" s="121">
        <f>IF(AQ8&gt;AQ7,1,0)+IF(AQ8&gt;AQ9,1,0)+IF(AQ8&gt;AQ10,1,0)</f>
        <v>0</v>
      </c>
      <c r="Y8" s="153" t="s">
        <v>29</v>
      </c>
      <c r="Z8" s="157" t="s">
        <v>15</v>
      </c>
      <c r="AA8" s="158">
        <f>Q6</f>
        <v>2</v>
      </c>
      <c r="AB8" s="158" t="s">
        <v>28</v>
      </c>
      <c r="AC8" s="158">
        <f>O6</f>
        <v>3</v>
      </c>
      <c r="AD8" s="158">
        <f>O10</f>
        <v>1</v>
      </c>
      <c r="AE8" s="158" t="s">
        <v>28</v>
      </c>
      <c r="AF8" s="158">
        <f>Q10</f>
        <v>0</v>
      </c>
      <c r="AG8" s="158">
        <f>O14</f>
        <v>1</v>
      </c>
      <c r="AH8" s="158" t="s">
        <v>28</v>
      </c>
      <c r="AI8" s="158">
        <f>Q14</f>
        <v>3</v>
      </c>
      <c r="AJ8" s="231">
        <f>SUM(IF(AA8&gt;AC8,3,IF(AA8=AC8,1,IF(AA8&lt;AC8,0))))+SUM(IF(AD8&gt;AF8,3,IF(AD8=AF8,1,IF(AD8&lt;AF8,0))))+SUM(IF(AG8&gt;AI8,3,IF(AG8=AI8,1,IF(AG8&lt;AI8,0))))</f>
        <v>3</v>
      </c>
      <c r="AK8" s="158">
        <f>SUM(AA8+AD8+AG8)</f>
        <v>4</v>
      </c>
      <c r="AL8" s="158" t="s">
        <v>28</v>
      </c>
      <c r="AM8" s="158">
        <f>SUM(AC8+AF8+AI8)</f>
        <v>6</v>
      </c>
      <c r="AN8" s="158">
        <f>SUM(AK8-AM8)</f>
        <v>-2</v>
      </c>
      <c r="AO8" s="160">
        <f>X8</f>
        <v>0</v>
      </c>
      <c r="AP8" s="161">
        <f>AJ8+AN8%</f>
        <v>2.98</v>
      </c>
      <c r="AQ8" s="162">
        <f>(AJ8*1000000)+(AN8*1000)+AK8</f>
        <v>2998004</v>
      </c>
    </row>
    <row r="9" spans="1:43" x14ac:dyDescent="0.2">
      <c r="A9" s="130">
        <v>5</v>
      </c>
      <c r="B9" s="130" t="s">
        <v>9</v>
      </c>
      <c r="C9" s="226">
        <f t="shared" si="0"/>
        <v>0.39583333333333331</v>
      </c>
      <c r="D9" s="139"/>
      <c r="E9" s="249" t="str">
        <f>Z7</f>
        <v>JFG Kickers Labertal</v>
      </c>
      <c r="F9" s="230" t="s">
        <v>10</v>
      </c>
      <c r="G9" s="319" t="str">
        <f>Z9</f>
        <v>JFG Naab-Regen</v>
      </c>
      <c r="H9" s="319"/>
      <c r="I9" s="319"/>
      <c r="J9" s="319"/>
      <c r="K9" s="319"/>
      <c r="L9" s="319"/>
      <c r="M9" s="319"/>
      <c r="N9" s="319"/>
      <c r="O9" s="230">
        <v>2</v>
      </c>
      <c r="P9" s="230" t="s">
        <v>28</v>
      </c>
      <c r="Q9" s="230">
        <v>0</v>
      </c>
      <c r="S9" s="126"/>
      <c r="T9" s="126"/>
      <c r="U9" s="122"/>
      <c r="V9" s="122"/>
      <c r="W9" s="186" t="str">
        <f>IF(AO9=0,"4",IF(AO9=1,"3",IF(AO9=2,"2",IF(AO9=3,"1",0))))</f>
        <v>3</v>
      </c>
      <c r="X9" s="121">
        <v>1</v>
      </c>
      <c r="Y9" s="153" t="s">
        <v>30</v>
      </c>
      <c r="Z9" s="157" t="s">
        <v>99</v>
      </c>
      <c r="AA9" s="158">
        <f>O6</f>
        <v>3</v>
      </c>
      <c r="AB9" s="158" t="s">
        <v>28</v>
      </c>
      <c r="AC9" s="158">
        <f>Q6</f>
        <v>2</v>
      </c>
      <c r="AD9" s="158">
        <f>Q9</f>
        <v>0</v>
      </c>
      <c r="AE9" s="158" t="s">
        <v>28</v>
      </c>
      <c r="AF9" s="158">
        <f>O9</f>
        <v>2</v>
      </c>
      <c r="AG9" s="158">
        <f>Q13</f>
        <v>1</v>
      </c>
      <c r="AH9" s="158" t="s">
        <v>28</v>
      </c>
      <c r="AI9" s="158">
        <f>O13</f>
        <v>2</v>
      </c>
      <c r="AJ9" s="231">
        <f>SUM(IF(AA9&gt;AC9,3,IF(AA9=AC9,1,IF(AA9&lt;AC9,0))))+SUM(IF(AD9&gt;AF9,3,IF(AD9=AF9,1,IF(AD9&lt;AF9,0))))+SUM(IF(AG9&gt;AI9,3,IF(AG9=AI9,1,IF(AG9&lt;AI9,0))))</f>
        <v>3</v>
      </c>
      <c r="AK9" s="158">
        <f>SUM(AA9+AD9+AG9)</f>
        <v>4</v>
      </c>
      <c r="AL9" s="158" t="s">
        <v>28</v>
      </c>
      <c r="AM9" s="158">
        <f>SUM(AC9+AF9+AI9)</f>
        <v>6</v>
      </c>
      <c r="AN9" s="158">
        <f>SUM(AK9-AM9)</f>
        <v>-2</v>
      </c>
      <c r="AO9" s="160">
        <f>X9</f>
        <v>1</v>
      </c>
      <c r="AP9" s="161">
        <f>AJ9+AN9%</f>
        <v>2.98</v>
      </c>
      <c r="AQ9" s="162">
        <f>(AJ9*1000000)+(AN9*1000)+AK9</f>
        <v>2998004</v>
      </c>
    </row>
    <row r="10" spans="1:43" x14ac:dyDescent="0.2">
      <c r="A10" s="139">
        <v>6</v>
      </c>
      <c r="B10" s="139" t="s">
        <v>9</v>
      </c>
      <c r="C10" s="226">
        <f t="shared" si="0"/>
        <v>0.39583333333333331</v>
      </c>
      <c r="D10" s="139"/>
      <c r="E10" s="230" t="str">
        <f>Z8</f>
        <v>TSV Neutraubling</v>
      </c>
      <c r="F10" s="230" t="s">
        <v>10</v>
      </c>
      <c r="G10" s="301" t="str">
        <f>Z10</f>
        <v>Freier TuS Regensburg</v>
      </c>
      <c r="H10" s="301"/>
      <c r="I10" s="301"/>
      <c r="J10" s="301"/>
      <c r="K10" s="301"/>
      <c r="L10" s="301"/>
      <c r="M10" s="301"/>
      <c r="N10" s="301"/>
      <c r="O10" s="230">
        <v>1</v>
      </c>
      <c r="P10" s="230" t="s">
        <v>28</v>
      </c>
      <c r="Q10" s="230">
        <v>0</v>
      </c>
      <c r="S10" s="126"/>
      <c r="T10" s="126"/>
      <c r="U10" s="122"/>
      <c r="V10" s="122"/>
      <c r="W10" s="186" t="str">
        <f>IF(AO10=0,"4",IF(AO10=1,"3",IF(AO10=2,"2",IF(AO10=3,"1",0))))</f>
        <v>2</v>
      </c>
      <c r="X10" s="121">
        <f>IF(AQ10&gt;AQ8,1,0)+IF(AQ10&gt;AQ9,1,0)+IF(AQ10&gt;AQ7,1,0)</f>
        <v>2</v>
      </c>
      <c r="Y10" s="153" t="s">
        <v>31</v>
      </c>
      <c r="Z10" s="157" t="s">
        <v>107</v>
      </c>
      <c r="AA10" s="158">
        <f>Q5</f>
        <v>0</v>
      </c>
      <c r="AB10" s="158" t="s">
        <v>28</v>
      </c>
      <c r="AC10" s="158">
        <f>O5</f>
        <v>0</v>
      </c>
      <c r="AD10" s="158">
        <f>Q10</f>
        <v>0</v>
      </c>
      <c r="AE10" s="158" t="s">
        <v>28</v>
      </c>
      <c r="AF10" s="158">
        <f>O10</f>
        <v>1</v>
      </c>
      <c r="AG10" s="158">
        <f>O13</f>
        <v>2</v>
      </c>
      <c r="AH10" s="158" t="s">
        <v>28</v>
      </c>
      <c r="AI10" s="158">
        <f>Q13</f>
        <v>1</v>
      </c>
      <c r="AJ10" s="231">
        <f>SUM(IF(AA10&gt;AC10,3,IF(AA10=AC10,1,IF(AA10&lt;AC10,0))))+SUM(IF(AD10&gt;AF10,3,IF(AD10=AF10,1,IF(AD10&lt;AF10,0))))+SUM(IF(AG10&gt;AI10,3,IF(AG10=AI10,1,IF(AG10&lt;AI10,0))))</f>
        <v>4</v>
      </c>
      <c r="AK10" s="158">
        <f>SUM(AA10+AD10+AG10)</f>
        <v>2</v>
      </c>
      <c r="AL10" s="158" t="s">
        <v>28</v>
      </c>
      <c r="AM10" s="158">
        <f>SUM(AC10+AF10+AI10)</f>
        <v>2</v>
      </c>
      <c r="AN10" s="158">
        <f>SUM(AK10-AM10)</f>
        <v>0</v>
      </c>
      <c r="AO10" s="160">
        <f>X10</f>
        <v>2</v>
      </c>
      <c r="AP10" s="161">
        <f>AJ10+AN10%</f>
        <v>4</v>
      </c>
      <c r="AQ10" s="162">
        <f>(AJ10*1000000)+(AN10*1000)+AK10</f>
        <v>4000002</v>
      </c>
    </row>
    <row r="11" spans="1:43" x14ac:dyDescent="0.2">
      <c r="A11" s="130">
        <v>7</v>
      </c>
      <c r="B11" s="139" t="s">
        <v>12</v>
      </c>
      <c r="C11" s="226">
        <f t="shared" si="0"/>
        <v>0.39583333333333331</v>
      </c>
      <c r="D11" s="139"/>
      <c r="E11" s="228" t="str">
        <f>Z12</f>
        <v>JFG Schwarze Laber</v>
      </c>
      <c r="F11" s="223" t="s">
        <v>10</v>
      </c>
      <c r="G11" s="319" t="str">
        <f>Z14</f>
        <v>TSV Großberg</v>
      </c>
      <c r="H11" s="319"/>
      <c r="I11" s="319"/>
      <c r="J11" s="319"/>
      <c r="K11" s="319"/>
      <c r="L11" s="319"/>
      <c r="M11" s="319"/>
      <c r="N11" s="319"/>
      <c r="O11" s="230">
        <v>0</v>
      </c>
      <c r="P11" s="230" t="s">
        <v>28</v>
      </c>
      <c r="Q11" s="230">
        <v>2</v>
      </c>
      <c r="S11" s="126"/>
      <c r="T11" s="126"/>
      <c r="U11" s="122"/>
      <c r="V11" s="122"/>
      <c r="W11" s="122"/>
      <c r="X11" s="121"/>
      <c r="Y11" s="165" t="s">
        <v>32</v>
      </c>
      <c r="Z11" s="166"/>
      <c r="AA11" s="167" t="s">
        <v>24</v>
      </c>
      <c r="AB11" s="168"/>
      <c r="AC11" s="169"/>
      <c r="AD11" s="167" t="s">
        <v>25</v>
      </c>
      <c r="AE11" s="168"/>
      <c r="AF11" s="169"/>
      <c r="AG11" s="167" t="s">
        <v>26</v>
      </c>
      <c r="AH11" s="168"/>
      <c r="AI11" s="169"/>
      <c r="AJ11" s="171" t="s">
        <v>22</v>
      </c>
      <c r="AK11" s="167" t="s">
        <v>23</v>
      </c>
      <c r="AL11" s="168"/>
      <c r="AM11" s="169"/>
      <c r="AN11" s="171"/>
      <c r="AO11" s="171" t="s">
        <v>0</v>
      </c>
      <c r="AP11" s="172"/>
      <c r="AQ11" s="162"/>
    </row>
    <row r="12" spans="1:43" x14ac:dyDescent="0.2">
      <c r="A12" s="139">
        <v>12</v>
      </c>
      <c r="B12" s="139" t="s">
        <v>12</v>
      </c>
      <c r="C12" s="226">
        <f t="shared" si="0"/>
        <v>0.39583333333333331</v>
      </c>
      <c r="D12" s="139"/>
      <c r="E12" s="223" t="str">
        <f>Z13</f>
        <v>SV Pfatter</v>
      </c>
      <c r="F12" s="223" t="s">
        <v>10</v>
      </c>
      <c r="G12" s="301" t="str">
        <f>Z15</f>
        <v>VfB Regensburg</v>
      </c>
      <c r="H12" s="301"/>
      <c r="I12" s="301"/>
      <c r="J12" s="301"/>
      <c r="K12" s="301"/>
      <c r="L12" s="301"/>
      <c r="M12" s="301"/>
      <c r="N12" s="301"/>
      <c r="O12" s="230">
        <v>1</v>
      </c>
      <c r="P12" s="230" t="s">
        <v>28</v>
      </c>
      <c r="Q12" s="230">
        <v>2</v>
      </c>
      <c r="S12" s="126"/>
      <c r="T12" s="126"/>
      <c r="U12" s="122"/>
      <c r="V12" s="122"/>
      <c r="W12" s="122" t="str">
        <f>IF(AO12=0,"4",IF(AO12=1,"3",IF(AO12=2,"2",IF(AO12=3,"1",0))))</f>
        <v>2</v>
      </c>
      <c r="X12" s="121">
        <f>IF(AQ12&gt;AQ13,1,0)+IF(AQ12&gt;AQ14,1,0)+IF(AQ12&gt;AQ15,1,0)</f>
        <v>2</v>
      </c>
      <c r="Y12" s="173" t="s">
        <v>27</v>
      </c>
      <c r="Z12" s="174" t="s">
        <v>18</v>
      </c>
      <c r="AA12" s="175">
        <f>O7</f>
        <v>0</v>
      </c>
      <c r="AB12" s="175" t="s">
        <v>28</v>
      </c>
      <c r="AC12" s="175">
        <f>Q7</f>
        <v>0</v>
      </c>
      <c r="AD12" s="175">
        <f>O11</f>
        <v>0</v>
      </c>
      <c r="AE12" s="175" t="s">
        <v>28</v>
      </c>
      <c r="AF12" s="175">
        <f>Q11</f>
        <v>2</v>
      </c>
      <c r="AG12" s="175">
        <f>Q16</f>
        <v>3</v>
      </c>
      <c r="AH12" s="175" t="s">
        <v>28</v>
      </c>
      <c r="AI12" s="175">
        <f>O16</f>
        <v>0</v>
      </c>
      <c r="AJ12" s="232">
        <f>SUM(IF(AA12&gt;AC12,3,IF(AA12=AC12,1,IF(AA12&lt;AC12,0))))+SUM(IF(AD12&gt;AF12,3,IF(AD12=AF12,1,IF(AD12&lt;AF12,0))))+SUM(IF(AG12&gt;AI12,3,IF(AG12=AI12,1,IF(AG12&lt;AI12,0))))</f>
        <v>4</v>
      </c>
      <c r="AK12" s="175">
        <f>SUM(AA12+AD12+AG12)</f>
        <v>3</v>
      </c>
      <c r="AL12" s="175"/>
      <c r="AM12" s="175">
        <f>SUM(AC12+AF12+AI12)</f>
        <v>2</v>
      </c>
      <c r="AN12" s="175">
        <f>SUM(AK12-AM12)</f>
        <v>1</v>
      </c>
      <c r="AO12" s="177">
        <f>X12</f>
        <v>2</v>
      </c>
      <c r="AP12" s="178">
        <f>AJ12+AN12%</f>
        <v>4.01</v>
      </c>
      <c r="AQ12" s="162">
        <f>AJ12*1000000+AN12*1000+AK12</f>
        <v>4001003</v>
      </c>
    </row>
    <row r="13" spans="1:43" x14ac:dyDescent="0.2">
      <c r="A13" s="139">
        <v>8</v>
      </c>
      <c r="B13" s="130" t="s">
        <v>9</v>
      </c>
      <c r="C13" s="226">
        <f t="shared" si="0"/>
        <v>0.39583333333333331</v>
      </c>
      <c r="D13" s="139"/>
      <c r="E13" s="230" t="str">
        <f>Z10</f>
        <v>Freier TuS Regensburg</v>
      </c>
      <c r="F13" s="230" t="s">
        <v>10</v>
      </c>
      <c r="G13" s="301" t="str">
        <f>Z9</f>
        <v>JFG Naab-Regen</v>
      </c>
      <c r="H13" s="301"/>
      <c r="I13" s="301"/>
      <c r="J13" s="301"/>
      <c r="K13" s="301"/>
      <c r="L13" s="301"/>
      <c r="M13" s="301"/>
      <c r="N13" s="301"/>
      <c r="O13" s="230">
        <v>2</v>
      </c>
      <c r="P13" s="230" t="s">
        <v>28</v>
      </c>
      <c r="Q13" s="230">
        <v>1</v>
      </c>
      <c r="S13" s="126"/>
      <c r="T13" s="126"/>
      <c r="U13" s="122"/>
      <c r="V13" s="122"/>
      <c r="W13" s="122" t="str">
        <f>IF(AO13=0,"4",IF(AO13=1,"3",IF(AO13=2,"2",IF(AO13=3,"1",0))))</f>
        <v>4</v>
      </c>
      <c r="X13" s="121">
        <f>IF(AQ13&gt;AQ12,1,0)+IF(AQ13&gt;AQ14,1,0)+IF(AQ13&gt;AQ15,1,0)</f>
        <v>0</v>
      </c>
      <c r="Y13" s="173" t="s">
        <v>29</v>
      </c>
      <c r="Z13" s="174" t="s">
        <v>108</v>
      </c>
      <c r="AA13" s="175">
        <f>Q8</f>
        <v>0</v>
      </c>
      <c r="AB13" s="175" t="s">
        <v>28</v>
      </c>
      <c r="AC13" s="175">
        <f>O8</f>
        <v>2</v>
      </c>
      <c r="AD13" s="175">
        <f>O12</f>
        <v>1</v>
      </c>
      <c r="AE13" s="175" t="s">
        <v>28</v>
      </c>
      <c r="AF13" s="175">
        <f>Q12</f>
        <v>2</v>
      </c>
      <c r="AG13" s="175">
        <f>O16</f>
        <v>0</v>
      </c>
      <c r="AH13" s="175" t="s">
        <v>28</v>
      </c>
      <c r="AI13" s="175">
        <f>Q16</f>
        <v>3</v>
      </c>
      <c r="AJ13" s="232">
        <f>SUM(IF(AA13&gt;AC13,3,IF(AA13=AC13,1,IF(AA13&lt;AC13,0))))+SUM(IF(AD13&gt;AF13,3,IF(AD13=AF13,1,IF(AD13&lt;AF13,0))))+SUM(IF(AG13&gt;AI13,3,IF(AG13=AI13,1,IF(AG13&lt;AI13,0))))</f>
        <v>0</v>
      </c>
      <c r="AK13" s="175">
        <f>SUM(AA13+AD13+AG13)</f>
        <v>1</v>
      </c>
      <c r="AL13" s="175" t="s">
        <v>28</v>
      </c>
      <c r="AM13" s="175">
        <f>SUM(AC13+AF13+AI13)</f>
        <v>7</v>
      </c>
      <c r="AN13" s="175">
        <f>SUM(AK13-AM13)</f>
        <v>-6</v>
      </c>
      <c r="AO13" s="177">
        <f>X13</f>
        <v>0</v>
      </c>
      <c r="AP13" s="178">
        <f>AJ13+AN13%</f>
        <v>-0.06</v>
      </c>
      <c r="AQ13" s="162">
        <f>AJ13*1000000+AN13*1000+AK13</f>
        <v>-5999</v>
      </c>
    </row>
    <row r="14" spans="1:43" x14ac:dyDescent="0.2">
      <c r="A14" s="139">
        <v>10</v>
      </c>
      <c r="B14" s="139" t="s">
        <v>9</v>
      </c>
      <c r="C14" s="226">
        <f t="shared" si="0"/>
        <v>0.39583333333333331</v>
      </c>
      <c r="D14" s="139"/>
      <c r="E14" s="230" t="str">
        <f>Z8</f>
        <v>TSV Neutraubling</v>
      </c>
      <c r="F14" s="230" t="s">
        <v>10</v>
      </c>
      <c r="G14" s="301" t="str">
        <f>Z7</f>
        <v>JFG Kickers Labertal</v>
      </c>
      <c r="H14" s="301"/>
      <c r="I14" s="301"/>
      <c r="J14" s="301"/>
      <c r="K14" s="301"/>
      <c r="L14" s="301"/>
      <c r="M14" s="301"/>
      <c r="N14" s="301"/>
      <c r="O14" s="230">
        <v>1</v>
      </c>
      <c r="P14" s="230" t="s">
        <v>28</v>
      </c>
      <c r="Q14" s="230">
        <v>3</v>
      </c>
      <c r="S14" s="126"/>
      <c r="T14" s="126"/>
      <c r="U14" s="122"/>
      <c r="V14" s="122"/>
      <c r="W14" s="122" t="str">
        <f>IF(AO14=0,"4",IF(AO14=1,"3",IF(AO14=2,"2",IF(AO14=3,"1",0))))</f>
        <v>1</v>
      </c>
      <c r="X14" s="121">
        <f>IF(AQ14&gt;AQ12,1,0)+IF(AQ14&gt;AQ13,1,0)+IF(AQ14&gt;AQ15,1,0)</f>
        <v>3</v>
      </c>
      <c r="Y14" s="173" t="s">
        <v>30</v>
      </c>
      <c r="Z14" s="174" t="s">
        <v>109</v>
      </c>
      <c r="AA14" s="175">
        <f>O8</f>
        <v>2</v>
      </c>
      <c r="AB14" s="175" t="s">
        <v>28</v>
      </c>
      <c r="AC14" s="175">
        <f>Q8</f>
        <v>0</v>
      </c>
      <c r="AD14" s="175">
        <f>Q11</f>
        <v>2</v>
      </c>
      <c r="AE14" s="175" t="s">
        <v>28</v>
      </c>
      <c r="AF14" s="175">
        <f>O11</f>
        <v>0</v>
      </c>
      <c r="AG14" s="175">
        <f>Q15</f>
        <v>3</v>
      </c>
      <c r="AH14" s="175" t="s">
        <v>28</v>
      </c>
      <c r="AI14" s="175">
        <f>O15</f>
        <v>0</v>
      </c>
      <c r="AJ14" s="232">
        <f>SUM(IF(AA14&gt;AC14,3,IF(AA14=AC14,1,IF(AA14&lt;AC14,0))))+SUM(IF(AD14&gt;AF14,3,IF(AD14=AF14,1,IF(AD14&lt;AF14,0))))+SUM(IF(AG14&gt;AI14,3,IF(AG14=AI14,1,IF(AG14&lt;AI14,0))))</f>
        <v>9</v>
      </c>
      <c r="AK14" s="175">
        <f>SUM(AA14+AD14+AG14)</f>
        <v>7</v>
      </c>
      <c r="AL14" s="175" t="s">
        <v>28</v>
      </c>
      <c r="AM14" s="175">
        <f>SUM(AC14+AF14+AI14)</f>
        <v>0</v>
      </c>
      <c r="AN14" s="175">
        <f>SUM(AK14-AM14)</f>
        <v>7</v>
      </c>
      <c r="AO14" s="177">
        <f>X14</f>
        <v>3</v>
      </c>
      <c r="AP14" s="178">
        <f>AJ14+AN14%</f>
        <v>9.07</v>
      </c>
      <c r="AQ14" s="162">
        <f>AJ14*1000000+AN14*1000+AK14</f>
        <v>9007007</v>
      </c>
    </row>
    <row r="15" spans="1:43" x14ac:dyDescent="0.2">
      <c r="A15" s="130">
        <v>9</v>
      </c>
      <c r="B15" s="139" t="s">
        <v>12</v>
      </c>
      <c r="C15" s="226">
        <f t="shared" si="0"/>
        <v>0.39583333333333331</v>
      </c>
      <c r="D15" s="139"/>
      <c r="E15" s="223" t="str">
        <f>Z15</f>
        <v>VfB Regensburg</v>
      </c>
      <c r="F15" s="223" t="s">
        <v>10</v>
      </c>
      <c r="G15" s="301" t="str">
        <f>Z14</f>
        <v>TSV Großberg</v>
      </c>
      <c r="H15" s="301"/>
      <c r="I15" s="301"/>
      <c r="J15" s="301"/>
      <c r="K15" s="301"/>
      <c r="L15" s="301"/>
      <c r="M15" s="301"/>
      <c r="N15" s="301"/>
      <c r="O15" s="230">
        <v>0</v>
      </c>
      <c r="P15" s="230" t="s">
        <v>28</v>
      </c>
      <c r="Q15" s="230">
        <v>3</v>
      </c>
      <c r="S15" s="126"/>
      <c r="T15" s="126"/>
      <c r="U15" s="122"/>
      <c r="V15" s="122"/>
      <c r="W15" s="122" t="str">
        <f>IF(AO15=0,"4",IF(AO15=1,"3",IF(AO15=2,"2",IF(AO15=3,"1",0))))</f>
        <v>3</v>
      </c>
      <c r="X15" s="121">
        <f>IF(AQ15&gt;AQ13,1,0)+IF(AQ15&gt;AQ14,1,0)+IF(AQ15&gt;AQ12,1,0)</f>
        <v>1</v>
      </c>
      <c r="Y15" s="173" t="s">
        <v>31</v>
      </c>
      <c r="Z15" s="174" t="s">
        <v>110</v>
      </c>
      <c r="AA15" s="175">
        <f>Q7</f>
        <v>0</v>
      </c>
      <c r="AB15" s="175" t="s">
        <v>28</v>
      </c>
      <c r="AC15" s="175">
        <f>O7</f>
        <v>0</v>
      </c>
      <c r="AD15" s="175">
        <f>Q12</f>
        <v>2</v>
      </c>
      <c r="AE15" s="175" t="s">
        <v>28</v>
      </c>
      <c r="AF15" s="175">
        <f>O12</f>
        <v>1</v>
      </c>
      <c r="AG15" s="175">
        <f>O15</f>
        <v>0</v>
      </c>
      <c r="AH15" s="175" t="s">
        <v>28</v>
      </c>
      <c r="AI15" s="175">
        <f>Q15</f>
        <v>3</v>
      </c>
      <c r="AJ15" s="232">
        <f>SUM(IF(AA15&gt;AC15,3,IF(AA15=AC15,1,IF(AA15&lt;AC15,0))))+SUM(IF(AD15&gt;AF15,3,IF(AD15=AF15,1,IF(AD15&lt;AF15,0))))+SUM(IF(AG15&gt;AI15,3,IF(AG15=AI15,1,IF(AG15&lt;AI15,0))))</f>
        <v>4</v>
      </c>
      <c r="AK15" s="175">
        <f>SUM(AA15+AD15+AG15)</f>
        <v>2</v>
      </c>
      <c r="AL15" s="175" t="s">
        <v>28</v>
      </c>
      <c r="AM15" s="175">
        <f>SUM(AC15+AF15+AI15)</f>
        <v>4</v>
      </c>
      <c r="AN15" s="175">
        <f>SUM(AK15-AM15)</f>
        <v>-2</v>
      </c>
      <c r="AO15" s="177">
        <f>X15</f>
        <v>1</v>
      </c>
      <c r="AP15" s="178">
        <f>AJ15+AN15%</f>
        <v>3.98</v>
      </c>
      <c r="AQ15" s="162">
        <f>AJ15*1000000+AN15*1000+AK15</f>
        <v>3998002</v>
      </c>
    </row>
    <row r="16" spans="1:43" x14ac:dyDescent="0.2">
      <c r="A16" s="130">
        <v>7</v>
      </c>
      <c r="B16" s="139" t="s">
        <v>12</v>
      </c>
      <c r="C16" s="226">
        <f t="shared" si="0"/>
        <v>0.39583333333333331</v>
      </c>
      <c r="D16" s="139"/>
      <c r="E16" s="223" t="str">
        <f>Z13</f>
        <v>SV Pfatter</v>
      </c>
      <c r="F16" s="223" t="s">
        <v>10</v>
      </c>
      <c r="G16" s="301" t="str">
        <f>Z12</f>
        <v>JFG Schwarze Laber</v>
      </c>
      <c r="H16" s="301"/>
      <c r="I16" s="301"/>
      <c r="J16" s="301"/>
      <c r="K16" s="301"/>
      <c r="L16" s="301"/>
      <c r="M16" s="301"/>
      <c r="N16" s="301"/>
      <c r="O16" s="230">
        <v>0</v>
      </c>
      <c r="P16" s="230" t="s">
        <v>28</v>
      </c>
      <c r="Q16" s="230">
        <v>3</v>
      </c>
      <c r="S16" s="126"/>
      <c r="T16" s="126"/>
      <c r="U16" s="122"/>
      <c r="V16" s="122"/>
    </row>
    <row r="17" spans="1:25" x14ac:dyDescent="0.2">
      <c r="C17" s="226">
        <f t="shared" si="0"/>
        <v>0.39583333333333331</v>
      </c>
      <c r="R17" s="137"/>
      <c r="S17" s="137"/>
      <c r="T17" s="185"/>
      <c r="U17" s="186"/>
      <c r="V17" s="122"/>
    </row>
    <row r="18" spans="1:25" x14ac:dyDescent="0.2">
      <c r="A18" s="122"/>
      <c r="B18" s="122"/>
      <c r="C18" s="226"/>
      <c r="D18" s="122"/>
      <c r="E18" s="135"/>
      <c r="F18" s="180"/>
      <c r="G18" s="137"/>
      <c r="H18" s="137"/>
      <c r="I18" s="126"/>
      <c r="J18" s="126"/>
      <c r="K18" s="126"/>
      <c r="L18" s="126"/>
      <c r="M18" s="126"/>
      <c r="N18" s="126"/>
      <c r="O18" s="137"/>
      <c r="P18" s="126"/>
      <c r="Q18" s="137"/>
      <c r="R18" s="137"/>
      <c r="S18" s="137"/>
      <c r="T18" s="234"/>
      <c r="U18" s="234"/>
      <c r="V18" s="234"/>
    </row>
    <row r="19" spans="1:25" x14ac:dyDescent="0.2">
      <c r="A19" s="122"/>
      <c r="B19" s="122"/>
      <c r="C19" s="233"/>
      <c r="D19" s="139"/>
      <c r="E19" s="182" t="str">
        <f>Y6</f>
        <v>Gruppe A</v>
      </c>
      <c r="F19" s="137"/>
      <c r="G19" s="183"/>
      <c r="H19" s="163" t="str">
        <f>Y11</f>
        <v>Gruppe B</v>
      </c>
      <c r="I19" s="163"/>
      <c r="J19" s="163"/>
      <c r="K19" s="163"/>
      <c r="L19" s="163"/>
      <c r="M19" s="163"/>
      <c r="N19" s="163"/>
      <c r="O19" s="184"/>
      <c r="P19" s="137"/>
      <c r="Q19" s="137"/>
      <c r="R19" s="137"/>
      <c r="S19" s="137"/>
      <c r="T19" s="234"/>
      <c r="U19" s="234"/>
      <c r="V19" s="234"/>
    </row>
    <row r="20" spans="1:25" x14ac:dyDescent="0.2">
      <c r="A20" s="122"/>
      <c r="B20" s="122"/>
      <c r="C20" s="233"/>
      <c r="D20" s="139">
        <v>1</v>
      </c>
      <c r="E20" s="188" t="str">
        <f>VLOOKUP(3,X7:Z10,3,0)</f>
        <v>JFG Kickers Labertal</v>
      </c>
      <c r="F20" s="137"/>
      <c r="G20" s="183">
        <v>1</v>
      </c>
      <c r="H20" s="303" t="str">
        <f>VLOOKUP(3,X12:Z15,3,0)</f>
        <v>TSV Großberg</v>
      </c>
      <c r="I20" s="303"/>
      <c r="J20" s="303"/>
      <c r="K20" s="303"/>
      <c r="L20" s="303"/>
      <c r="M20" s="303"/>
      <c r="N20" s="303"/>
      <c r="O20" s="184"/>
      <c r="P20" s="137"/>
      <c r="Q20" s="137"/>
      <c r="R20" s="137"/>
      <c r="S20" s="137"/>
      <c r="T20" s="234"/>
      <c r="U20" s="234"/>
      <c r="V20" s="234"/>
    </row>
    <row r="21" spans="1:25" x14ac:dyDescent="0.2">
      <c r="A21" s="122"/>
      <c r="B21" s="122"/>
      <c r="C21" s="233"/>
      <c r="D21" s="139">
        <v>2</v>
      </c>
      <c r="E21" s="188" t="str">
        <f>VLOOKUP(2,X7:Z10,3,0)</f>
        <v>Freier TuS Regensburg</v>
      </c>
      <c r="F21" s="137"/>
      <c r="G21" s="183">
        <v>2</v>
      </c>
      <c r="H21" s="303" t="str">
        <f>VLOOKUP(2,X12:Z15,3,0)</f>
        <v>JFG Schwarze Laber</v>
      </c>
      <c r="I21" s="303"/>
      <c r="J21" s="303"/>
      <c r="K21" s="303"/>
      <c r="L21" s="303"/>
      <c r="M21" s="303"/>
      <c r="N21" s="303"/>
      <c r="O21" s="184"/>
      <c r="P21" s="137"/>
      <c r="Q21" s="137"/>
      <c r="R21" s="137"/>
      <c r="S21" s="137"/>
      <c r="T21" s="234"/>
      <c r="U21" s="234"/>
      <c r="V21" s="234"/>
    </row>
    <row r="22" spans="1:25" x14ac:dyDescent="0.2">
      <c r="A22" s="122"/>
      <c r="B22" s="122"/>
      <c r="C22" s="233"/>
      <c r="D22" s="139">
        <v>3</v>
      </c>
      <c r="E22" s="191" t="str">
        <f>VLOOKUP(1,X7:Z10,3,0)</f>
        <v>JFG Naab-Regen</v>
      </c>
      <c r="F22" s="137"/>
      <c r="G22" s="183">
        <v>3</v>
      </c>
      <c r="H22" s="304" t="str">
        <f>VLOOKUP(1,X12:Z15,3,0)</f>
        <v>VfB Regensburg</v>
      </c>
      <c r="I22" s="304"/>
      <c r="J22" s="304"/>
      <c r="K22" s="304"/>
      <c r="L22" s="304"/>
      <c r="M22" s="304"/>
      <c r="N22" s="304"/>
      <c r="O22" s="184"/>
      <c r="P22" s="137"/>
      <c r="Q22" s="137"/>
    </row>
    <row r="23" spans="1:25" x14ac:dyDescent="0.2">
      <c r="A23" s="122"/>
      <c r="B23" s="122"/>
      <c r="C23" s="233"/>
      <c r="D23" s="192">
        <v>4</v>
      </c>
      <c r="E23" s="193" t="str">
        <f>VLOOKUP(0,X7:Z10,3,0)</f>
        <v>TSV Neutraubling</v>
      </c>
      <c r="F23" s="137"/>
      <c r="G23" s="194">
        <v>4</v>
      </c>
      <c r="H23" s="305" t="str">
        <f>VLOOKUP(0,X12:Z15,3,0)</f>
        <v>SV Pfatter</v>
      </c>
      <c r="I23" s="305"/>
      <c r="J23" s="305"/>
      <c r="K23" s="305"/>
      <c r="L23" s="305"/>
      <c r="M23" s="305"/>
      <c r="N23" s="305"/>
      <c r="O23" s="184"/>
      <c r="P23" s="137"/>
      <c r="Q23" s="137"/>
    </row>
    <row r="24" spans="1:25" x14ac:dyDescent="0.2">
      <c r="A24" s="289" t="s">
        <v>70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194"/>
      <c r="S24" s="163" t="s">
        <v>62</v>
      </c>
      <c r="T24" s="163"/>
      <c r="U24" s="163"/>
      <c r="V24" s="254"/>
      <c r="W24" s="200" t="s">
        <v>63</v>
      </c>
      <c r="X24" s="200"/>
      <c r="Y24" s="200"/>
    </row>
    <row r="25" spans="1:25" x14ac:dyDescent="0.2">
      <c r="A25" s="200"/>
      <c r="B25" s="200"/>
      <c r="C25" s="236"/>
      <c r="D25" s="139"/>
      <c r="E25" s="237" t="s">
        <v>64</v>
      </c>
      <c r="F25" s="237"/>
      <c r="G25" s="315" t="s">
        <v>65</v>
      </c>
      <c r="H25" s="315"/>
      <c r="I25" s="315"/>
      <c r="J25" s="315"/>
      <c r="K25" s="315"/>
      <c r="L25" s="315"/>
      <c r="M25" s="315"/>
      <c r="N25" s="315"/>
      <c r="O25" s="238"/>
      <c r="P25" s="238"/>
      <c r="Q25" s="238"/>
      <c r="R25" s="255"/>
      <c r="S25" s="183"/>
      <c r="T25" s="183"/>
      <c r="U25" s="183"/>
      <c r="V25" s="256"/>
      <c r="W25" s="235"/>
      <c r="X25" s="235"/>
      <c r="Y25" s="235"/>
    </row>
    <row r="26" spans="1:25" x14ac:dyDescent="0.2">
      <c r="A26" s="139">
        <v>13</v>
      </c>
      <c r="B26" s="139" t="s">
        <v>66</v>
      </c>
      <c r="C26" s="226">
        <f>C17+$S$5</f>
        <v>0.39583333333333331</v>
      </c>
      <c r="D26" s="139"/>
      <c r="E26" s="238" t="str">
        <f>E20</f>
        <v>JFG Kickers Labertal</v>
      </c>
      <c r="F26" s="238" t="s">
        <v>10</v>
      </c>
      <c r="G26" s="317" t="str">
        <f>H21</f>
        <v>JFG Schwarze Laber</v>
      </c>
      <c r="H26" s="317"/>
      <c r="I26" s="317"/>
      <c r="J26" s="317"/>
      <c r="K26" s="317"/>
      <c r="L26" s="317"/>
      <c r="M26" s="317"/>
      <c r="N26" s="317"/>
      <c r="O26" s="238">
        <f>SUM(S26+W26)</f>
        <v>2</v>
      </c>
      <c r="P26" s="238" t="s">
        <v>28</v>
      </c>
      <c r="Q26" s="238">
        <f>SUM(U26+Y26)</f>
        <v>0</v>
      </c>
      <c r="R26" s="255"/>
      <c r="S26" s="183">
        <v>2</v>
      </c>
      <c r="T26" s="125" t="s">
        <v>28</v>
      </c>
      <c r="U26" s="125">
        <v>0</v>
      </c>
      <c r="V26" s="256"/>
      <c r="W26" s="235"/>
      <c r="X26" s="235" t="s">
        <v>28</v>
      </c>
      <c r="Y26" s="235"/>
    </row>
    <row r="27" spans="1:25" x14ac:dyDescent="0.2">
      <c r="A27" s="139"/>
      <c r="B27" s="139"/>
      <c r="C27" s="226"/>
      <c r="D27" s="139"/>
      <c r="E27" s="237" t="s">
        <v>68</v>
      </c>
      <c r="F27" s="237"/>
      <c r="G27" s="315" t="s">
        <v>69</v>
      </c>
      <c r="H27" s="315"/>
      <c r="I27" s="315"/>
      <c r="J27" s="315"/>
      <c r="K27" s="315"/>
      <c r="L27" s="315"/>
      <c r="M27" s="315"/>
      <c r="N27" s="315"/>
      <c r="O27" s="240"/>
      <c r="P27" s="240"/>
      <c r="Q27" s="240"/>
      <c r="R27" s="255"/>
      <c r="S27" s="183"/>
      <c r="T27" s="183"/>
      <c r="U27" s="125"/>
      <c r="V27" s="256"/>
      <c r="W27" s="235"/>
      <c r="X27" s="235"/>
      <c r="Y27" s="235"/>
    </row>
    <row r="28" spans="1:25" x14ac:dyDescent="0.2">
      <c r="A28" s="139">
        <v>14</v>
      </c>
      <c r="B28" s="139" t="s">
        <v>67</v>
      </c>
      <c r="C28" s="226">
        <f>C26+$S$4</f>
        <v>0.39583333333333331</v>
      </c>
      <c r="D28" s="139"/>
      <c r="E28" s="238" t="str">
        <f>H20</f>
        <v>TSV Großberg</v>
      </c>
      <c r="F28" s="238" t="s">
        <v>10</v>
      </c>
      <c r="G28" s="317" t="str">
        <f>E21</f>
        <v>Freier TuS Regensburg</v>
      </c>
      <c r="H28" s="317"/>
      <c r="I28" s="317"/>
      <c r="J28" s="317"/>
      <c r="K28" s="317"/>
      <c r="L28" s="317"/>
      <c r="M28" s="317"/>
      <c r="N28" s="317"/>
      <c r="O28" s="238">
        <v>5</v>
      </c>
      <c r="P28" s="238" t="s">
        <v>28</v>
      </c>
      <c r="Q28" s="238">
        <v>6</v>
      </c>
      <c r="R28" s="255"/>
      <c r="S28" s="183">
        <v>0</v>
      </c>
      <c r="T28" s="125" t="s">
        <v>28</v>
      </c>
      <c r="U28" s="125">
        <v>0</v>
      </c>
      <c r="V28" s="256"/>
      <c r="W28" s="235">
        <v>5</v>
      </c>
      <c r="X28" s="235" t="s">
        <v>28</v>
      </c>
      <c r="Y28" s="235">
        <v>6</v>
      </c>
    </row>
    <row r="29" spans="1:25" x14ac:dyDescent="0.2">
      <c r="A29" s="139"/>
      <c r="B29" s="139"/>
      <c r="C29" s="226"/>
      <c r="D29" s="139"/>
      <c r="E29" s="261" t="s">
        <v>71</v>
      </c>
      <c r="F29" s="262"/>
      <c r="G29" s="323" t="s">
        <v>72</v>
      </c>
      <c r="H29" s="323"/>
      <c r="I29" s="323"/>
      <c r="J29" s="323"/>
      <c r="K29" s="323"/>
      <c r="L29" s="323"/>
      <c r="M29" s="323"/>
      <c r="N29" s="323"/>
      <c r="O29" s="240"/>
      <c r="P29" s="240"/>
      <c r="Q29" s="240"/>
      <c r="R29" s="255"/>
      <c r="S29" s="183"/>
      <c r="T29" s="183"/>
      <c r="U29" s="125"/>
      <c r="V29" s="256"/>
      <c r="W29" s="235"/>
      <c r="X29" s="235"/>
      <c r="Y29" s="235"/>
    </row>
    <row r="30" spans="1:25" x14ac:dyDescent="0.2">
      <c r="A30" s="139">
        <v>15</v>
      </c>
      <c r="B30" s="139" t="s">
        <v>66</v>
      </c>
      <c r="C30" s="226">
        <f>C28+$S$4</f>
        <v>0.39583333333333331</v>
      </c>
      <c r="D30" s="139"/>
      <c r="E30" s="238" t="str">
        <f>E23</f>
        <v>TSV Neutraubling</v>
      </c>
      <c r="F30" s="238" t="s">
        <v>10</v>
      </c>
      <c r="G30" s="317" t="str">
        <f>H23</f>
        <v>SV Pfatter</v>
      </c>
      <c r="H30" s="317"/>
      <c r="I30" s="317"/>
      <c r="J30" s="317"/>
      <c r="K30" s="317"/>
      <c r="L30" s="317"/>
      <c r="M30" s="317"/>
      <c r="N30" s="317"/>
      <c r="O30" s="238">
        <f>SUM(S30+W30)</f>
        <v>2</v>
      </c>
      <c r="P30" s="238" t="s">
        <v>28</v>
      </c>
      <c r="Q30" s="238">
        <f>SUM(U30+Y30)</f>
        <v>1</v>
      </c>
      <c r="R30" s="255"/>
      <c r="S30" s="183">
        <v>2</v>
      </c>
      <c r="T30" s="125" t="s">
        <v>28</v>
      </c>
      <c r="U30" s="125">
        <v>1</v>
      </c>
      <c r="V30" s="256"/>
      <c r="W30" s="235"/>
      <c r="X30" s="235" t="s">
        <v>28</v>
      </c>
      <c r="Y30" s="235"/>
    </row>
    <row r="31" spans="1:25" x14ac:dyDescent="0.2">
      <c r="A31" s="139"/>
      <c r="B31" s="139"/>
      <c r="C31" s="226"/>
      <c r="D31" s="139"/>
      <c r="E31" s="198" t="s">
        <v>73</v>
      </c>
      <c r="F31" s="209"/>
      <c r="G31" s="315" t="s">
        <v>74</v>
      </c>
      <c r="H31" s="315"/>
      <c r="I31" s="315"/>
      <c r="J31" s="315"/>
      <c r="K31" s="315"/>
      <c r="L31" s="315"/>
      <c r="M31" s="315"/>
      <c r="N31" s="315"/>
      <c r="O31" s="240"/>
      <c r="P31" s="240"/>
      <c r="Q31" s="240"/>
      <c r="R31" s="255"/>
      <c r="S31" s="240"/>
      <c r="T31" s="183"/>
      <c r="U31" s="240"/>
      <c r="V31" s="256"/>
      <c r="W31" s="235"/>
      <c r="X31" s="235"/>
      <c r="Y31" s="235"/>
    </row>
    <row r="32" spans="1:25" x14ac:dyDescent="0.2">
      <c r="A32" s="139">
        <v>16</v>
      </c>
      <c r="B32" s="139" t="s">
        <v>105</v>
      </c>
      <c r="C32" s="226">
        <f>C30+$S$4</f>
        <v>0.39583333333333331</v>
      </c>
      <c r="D32" s="139"/>
      <c r="E32" s="238" t="str">
        <f>E22</f>
        <v>JFG Naab-Regen</v>
      </c>
      <c r="F32" s="238" t="s">
        <v>10</v>
      </c>
      <c r="G32" s="317" t="str">
        <f>H22</f>
        <v>VfB Regensburg</v>
      </c>
      <c r="H32" s="317"/>
      <c r="I32" s="317"/>
      <c r="J32" s="317"/>
      <c r="K32" s="317"/>
      <c r="L32" s="317"/>
      <c r="M32" s="317"/>
      <c r="N32" s="317"/>
      <c r="O32" s="238">
        <f>SUM(S32+W32)</f>
        <v>0</v>
      </c>
      <c r="P32" s="238" t="s">
        <v>28</v>
      </c>
      <c r="Q32" s="238">
        <f>SUM(U32+Y32)</f>
        <v>1</v>
      </c>
      <c r="R32" s="255"/>
      <c r="S32" s="183">
        <v>0</v>
      </c>
      <c r="T32" s="125" t="s">
        <v>28</v>
      </c>
      <c r="U32" s="125">
        <v>1</v>
      </c>
      <c r="V32" s="256"/>
      <c r="W32" s="235"/>
      <c r="X32" s="235" t="s">
        <v>28</v>
      </c>
      <c r="Y32" s="235"/>
    </row>
    <row r="33" spans="1:25" x14ac:dyDescent="0.2">
      <c r="A33" s="139"/>
      <c r="B33" s="139"/>
      <c r="C33" s="226"/>
      <c r="D33" s="139"/>
      <c r="E33" s="198" t="s">
        <v>76</v>
      </c>
      <c r="F33" s="209"/>
      <c r="G33" s="315" t="s">
        <v>77</v>
      </c>
      <c r="H33" s="315"/>
      <c r="I33" s="315"/>
      <c r="J33" s="315"/>
      <c r="K33" s="315"/>
      <c r="L33" s="315"/>
      <c r="M33" s="315"/>
      <c r="N33" s="315"/>
      <c r="O33" s="240"/>
      <c r="P33" s="240"/>
      <c r="Q33" s="240"/>
      <c r="R33" s="255"/>
      <c r="S33" s="183"/>
      <c r="T33" s="183"/>
      <c r="U33" s="125"/>
      <c r="V33" s="256"/>
      <c r="W33" s="235"/>
      <c r="X33" s="235"/>
      <c r="Y33" s="235"/>
    </row>
    <row r="34" spans="1:25" x14ac:dyDescent="0.2">
      <c r="A34" s="139">
        <v>17</v>
      </c>
      <c r="B34" s="139" t="s">
        <v>66</v>
      </c>
      <c r="C34" s="226">
        <f>C32+$S$4</f>
        <v>0.39583333333333331</v>
      </c>
      <c r="D34" s="139"/>
      <c r="E34" s="241" t="str">
        <f>IF(O26+Q26=0,0,IF(Q26&gt;O26,E26,G26))</f>
        <v>JFG Schwarze Laber</v>
      </c>
      <c r="F34" s="238" t="s">
        <v>10</v>
      </c>
      <c r="G34" s="317" t="str">
        <f>IF(O28+Q28=0,0,IF(O28&lt;Q28,E28,G28))</f>
        <v>TSV Großberg</v>
      </c>
      <c r="H34" s="317"/>
      <c r="I34" s="317"/>
      <c r="J34" s="317"/>
      <c r="K34" s="317"/>
      <c r="L34" s="317"/>
      <c r="M34" s="317"/>
      <c r="N34" s="317"/>
      <c r="O34" s="238">
        <f>SUM(S34+W34)</f>
        <v>2</v>
      </c>
      <c r="P34" s="238" t="s">
        <v>28</v>
      </c>
      <c r="Q34" s="238">
        <f>SUM(U34+Y34)</f>
        <v>3</v>
      </c>
      <c r="R34" s="255"/>
      <c r="S34" s="183">
        <v>0</v>
      </c>
      <c r="T34" s="125" t="s">
        <v>28</v>
      </c>
      <c r="U34" s="125">
        <v>0</v>
      </c>
      <c r="V34" s="256"/>
      <c r="W34" s="235">
        <v>2</v>
      </c>
      <c r="X34" s="235" t="s">
        <v>28</v>
      </c>
      <c r="Y34" s="238">
        <v>3</v>
      </c>
    </row>
    <row r="35" spans="1:25" x14ac:dyDescent="0.2">
      <c r="A35" s="139"/>
      <c r="B35" s="139"/>
      <c r="C35" s="226"/>
      <c r="D35" s="139"/>
      <c r="E35" s="199" t="s">
        <v>79</v>
      </c>
      <c r="F35" s="257"/>
      <c r="G35" s="322" t="s">
        <v>80</v>
      </c>
      <c r="H35" s="322"/>
      <c r="I35" s="322"/>
      <c r="J35" s="322"/>
      <c r="K35" s="322"/>
      <c r="L35" s="322"/>
      <c r="M35" s="322"/>
      <c r="N35" s="322"/>
      <c r="O35" s="240"/>
      <c r="P35" s="240"/>
      <c r="Q35" s="240"/>
      <c r="R35" s="255"/>
      <c r="S35" s="183"/>
      <c r="T35" s="183"/>
      <c r="U35" s="125"/>
      <c r="V35" s="256"/>
      <c r="W35" s="235"/>
      <c r="X35" s="235"/>
      <c r="Y35" s="235"/>
    </row>
    <row r="36" spans="1:25" x14ac:dyDescent="0.2">
      <c r="A36" s="139">
        <v>18</v>
      </c>
      <c r="B36" s="139" t="s">
        <v>106</v>
      </c>
      <c r="C36" s="226">
        <f>C34+$S$4</f>
        <v>0.39583333333333331</v>
      </c>
      <c r="D36" s="139"/>
      <c r="E36" s="241" t="str">
        <f>IF(O26+Q26=0,0,IF(O26&gt;Q26,E26,G26))</f>
        <v>JFG Kickers Labertal</v>
      </c>
      <c r="F36" s="238" t="s">
        <v>10</v>
      </c>
      <c r="G36" s="317" t="str">
        <f>IF(O28+Q28=0,0,IF(O28&gt;Q28,E28,G28))</f>
        <v>Freier TuS Regensburg</v>
      </c>
      <c r="H36" s="317"/>
      <c r="I36" s="317"/>
      <c r="J36" s="317"/>
      <c r="K36" s="317"/>
      <c r="L36" s="317"/>
      <c r="M36" s="317"/>
      <c r="N36" s="317"/>
      <c r="O36" s="238">
        <f>SUM(S36+W36)</f>
        <v>0</v>
      </c>
      <c r="P36" s="238" t="s">
        <v>28</v>
      </c>
      <c r="Q36" s="238">
        <f>SUM(U36+Y36)</f>
        <v>1</v>
      </c>
      <c r="R36" s="258"/>
      <c r="S36" s="183">
        <v>0</v>
      </c>
      <c r="T36" s="125" t="s">
        <v>28</v>
      </c>
      <c r="U36" s="125">
        <v>1</v>
      </c>
      <c r="V36" s="259"/>
      <c r="W36" s="235"/>
      <c r="X36" s="235" t="s">
        <v>28</v>
      </c>
      <c r="Y36" s="235"/>
    </row>
    <row r="37" spans="1:25" x14ac:dyDescent="0.2">
      <c r="A37" s="122"/>
      <c r="B37" s="122"/>
      <c r="C37" s="226">
        <f>C36+S4</f>
        <v>0.39583333333333331</v>
      </c>
      <c r="D37" s="122"/>
      <c r="E37" s="122" t="s">
        <v>95</v>
      </c>
      <c r="F37" s="136"/>
      <c r="G37" s="137"/>
      <c r="H37" s="137"/>
      <c r="I37" s="126"/>
      <c r="J37" s="126"/>
      <c r="K37" s="126"/>
      <c r="L37" s="126"/>
      <c r="M37" s="126"/>
      <c r="N37" s="126"/>
      <c r="O37" s="137"/>
      <c r="P37" s="126"/>
      <c r="Q37" s="126"/>
    </row>
    <row r="38" spans="1:25" x14ac:dyDescent="0.2">
      <c r="A38" s="122"/>
      <c r="B38" s="122"/>
      <c r="C38" s="233" t="s">
        <v>0</v>
      </c>
      <c r="D38" s="122">
        <v>8</v>
      </c>
      <c r="E38" s="216" t="str">
        <f>IF(O30+Q30=0,0,IF(O30&lt;Q30,E30,G30))</f>
        <v>SV Pfatter</v>
      </c>
      <c r="F38" s="136"/>
      <c r="G38" s="138"/>
      <c r="H38" s="217"/>
      <c r="I38" s="217"/>
      <c r="J38" s="217"/>
      <c r="K38" s="217"/>
      <c r="L38" s="217"/>
      <c r="M38" s="217"/>
      <c r="N38" s="217"/>
      <c r="O38" s="137"/>
      <c r="P38" s="126"/>
      <c r="Q38" s="126"/>
      <c r="R38" s="122"/>
      <c r="S38" s="126"/>
      <c r="T38" s="126"/>
      <c r="U38" s="122"/>
      <c r="V38" s="122"/>
    </row>
    <row r="39" spans="1:25" x14ac:dyDescent="0.2">
      <c r="A39" s="122"/>
      <c r="B39" s="122"/>
      <c r="C39" s="233" t="s">
        <v>0</v>
      </c>
      <c r="D39" s="122">
        <v>7</v>
      </c>
      <c r="E39" s="216" t="str">
        <f>IF(O30+Q30=0,0,IF(O30&gt;Q30,E30,G30))</f>
        <v>TSV Neutraubling</v>
      </c>
      <c r="F39" s="242"/>
      <c r="G39" s="137"/>
      <c r="H39" s="137"/>
      <c r="I39" s="126"/>
      <c r="J39" s="126"/>
      <c r="K39" s="126"/>
      <c r="L39" s="126"/>
      <c r="M39" s="126"/>
      <c r="N39" s="126"/>
      <c r="O39" s="137"/>
      <c r="P39" s="126"/>
      <c r="Q39" s="126"/>
      <c r="R39" s="126"/>
      <c r="S39" s="126"/>
      <c r="T39" s="126"/>
      <c r="U39" s="122"/>
      <c r="V39" s="122"/>
    </row>
    <row r="40" spans="1:25" x14ac:dyDescent="0.2">
      <c r="A40" s="122"/>
      <c r="B40" s="122"/>
      <c r="C40" s="233" t="s">
        <v>0</v>
      </c>
      <c r="D40" s="122">
        <v>6</v>
      </c>
      <c r="E40" s="216" t="str">
        <f>IF(O32+Q32=0,0,IF(O32&lt;Q32,E32,G32))</f>
        <v>JFG Naab-Regen</v>
      </c>
      <c r="F40" s="242"/>
      <c r="G40" s="121"/>
      <c r="H40" s="137"/>
      <c r="I40" s="126"/>
      <c r="J40" s="126"/>
      <c r="K40" s="122"/>
      <c r="L40" s="122"/>
      <c r="M40" s="122"/>
      <c r="N40" s="122"/>
      <c r="O40" s="122"/>
      <c r="P40" s="122"/>
      <c r="Q40" s="122"/>
      <c r="R40" s="126"/>
      <c r="S40" s="126"/>
      <c r="T40" s="126"/>
      <c r="U40" s="122"/>
      <c r="V40" s="122"/>
    </row>
    <row r="41" spans="1:25" x14ac:dyDescent="0.2">
      <c r="A41" s="122"/>
      <c r="B41" s="122"/>
      <c r="C41" s="233" t="s">
        <v>0</v>
      </c>
      <c r="D41" s="122">
        <v>5</v>
      </c>
      <c r="E41" s="216" t="str">
        <f>IF(O32+Q32=0,0,IF(O32&gt;Q32,E32,G32))</f>
        <v>VfB Regensburg</v>
      </c>
      <c r="F41" s="219"/>
      <c r="G41" s="137"/>
      <c r="H41" s="137"/>
      <c r="I41" s="126"/>
      <c r="J41" s="126"/>
      <c r="K41" s="126"/>
      <c r="L41" s="126"/>
      <c r="M41" s="126"/>
      <c r="N41" s="126"/>
      <c r="O41" s="137"/>
      <c r="P41" s="126"/>
      <c r="Q41" s="126"/>
      <c r="R41" s="126"/>
      <c r="S41" s="126"/>
      <c r="T41" s="126"/>
      <c r="U41" s="122"/>
      <c r="V41" s="122"/>
    </row>
    <row r="42" spans="1:25" x14ac:dyDescent="0.2">
      <c r="A42" s="122"/>
      <c r="B42" s="122"/>
      <c r="C42" s="233" t="s">
        <v>0</v>
      </c>
      <c r="D42" s="122">
        <v>4</v>
      </c>
      <c r="E42" s="219" t="str">
        <f>IF(O34+Q34=0,0,IF(O34&lt;Q34,E34,G34))</f>
        <v>JFG Schwarze Laber</v>
      </c>
      <c r="G42" s="137"/>
      <c r="H42" s="137"/>
      <c r="I42" s="126"/>
      <c r="J42" s="126"/>
      <c r="K42" s="126"/>
      <c r="L42" s="126"/>
      <c r="M42" s="126"/>
      <c r="N42" s="126"/>
      <c r="O42" s="137"/>
      <c r="P42" s="126"/>
      <c r="Q42" s="126"/>
      <c r="R42" s="126"/>
      <c r="S42" s="126"/>
      <c r="T42" s="126"/>
      <c r="U42" s="122"/>
      <c r="V42" s="122"/>
    </row>
    <row r="43" spans="1:25" x14ac:dyDescent="0.2">
      <c r="A43" s="122"/>
      <c r="B43" s="122"/>
      <c r="C43" s="233" t="s">
        <v>0</v>
      </c>
      <c r="D43" s="122">
        <v>3</v>
      </c>
      <c r="E43" s="219" t="str">
        <f>IF(O34+Q34=0,0,IF(O34&gt;Q34,E34,G34))</f>
        <v>TSV Großberg</v>
      </c>
      <c r="F43" s="136"/>
      <c r="G43" s="137"/>
      <c r="H43" s="137"/>
      <c r="I43" s="126"/>
      <c r="J43" s="126"/>
      <c r="K43" s="126"/>
      <c r="L43" s="126"/>
      <c r="M43" s="126"/>
      <c r="N43" s="126"/>
      <c r="O43" s="137"/>
      <c r="P43" s="126"/>
      <c r="Q43" s="126"/>
      <c r="R43" s="126"/>
      <c r="S43" s="126"/>
      <c r="T43" s="126"/>
      <c r="U43" s="122"/>
      <c r="V43" s="122"/>
    </row>
    <row r="44" spans="1:25" x14ac:dyDescent="0.2">
      <c r="A44" s="122"/>
      <c r="B44" s="122"/>
      <c r="C44" s="233" t="s">
        <v>0</v>
      </c>
      <c r="D44" s="122">
        <v>2</v>
      </c>
      <c r="E44" s="219" t="str">
        <f>IF(O36+Q36=0,0,IF(O36&lt;Q36,E36,G36))</f>
        <v>JFG Kickers Labertal</v>
      </c>
      <c r="G44" s="137"/>
      <c r="H44" s="137"/>
      <c r="I44" s="126"/>
      <c r="J44" s="126"/>
      <c r="K44" s="126"/>
      <c r="L44" s="126"/>
      <c r="M44" s="126"/>
      <c r="N44" s="126"/>
      <c r="O44" s="137"/>
      <c r="P44" s="126"/>
      <c r="Q44" s="126"/>
      <c r="R44" s="126"/>
      <c r="S44" s="126"/>
      <c r="T44" s="126"/>
      <c r="U44" s="122"/>
      <c r="V44" s="122"/>
    </row>
    <row r="45" spans="1:25" x14ac:dyDescent="0.2">
      <c r="A45" s="122"/>
      <c r="B45" s="122"/>
      <c r="C45" s="233" t="s">
        <v>0</v>
      </c>
      <c r="D45" s="122">
        <v>1</v>
      </c>
      <c r="E45" s="219" t="str">
        <f>IF(O36+Q36=0,0,IF(O36&gt;Q36,E36,G36))</f>
        <v>Freier TuS Regensburg</v>
      </c>
      <c r="F45" s="136"/>
      <c r="G45" s="137"/>
      <c r="H45" s="137"/>
      <c r="I45" s="126"/>
      <c r="J45" s="126"/>
      <c r="K45" s="126"/>
      <c r="L45" s="126"/>
      <c r="M45" s="126"/>
      <c r="N45" s="126"/>
      <c r="O45" s="137"/>
      <c r="P45" s="126"/>
      <c r="Q45" s="126"/>
    </row>
    <row r="46" spans="1:25" x14ac:dyDescent="0.2">
      <c r="A46" s="122"/>
      <c r="B46" s="122"/>
      <c r="C46" s="233"/>
      <c r="D46" s="122"/>
      <c r="E46" s="135"/>
      <c r="F46" s="122">
        <f>A36</f>
        <v>18</v>
      </c>
      <c r="G46" s="137"/>
      <c r="H46" s="137" t="s">
        <v>37</v>
      </c>
      <c r="I46" s="126"/>
      <c r="J46" s="126"/>
      <c r="K46" s="126"/>
      <c r="L46" s="126"/>
      <c r="M46" s="126"/>
      <c r="N46" s="126"/>
      <c r="O46" s="137"/>
      <c r="P46" s="126"/>
      <c r="Q46" s="126"/>
    </row>
    <row r="47" spans="1:25" x14ac:dyDescent="0.2">
      <c r="F47" s="260">
        <f>SUM(O5:O16,Q5:Q16,S26:S36,U26:U36)</f>
        <v>35</v>
      </c>
      <c r="H47" s="117" t="s">
        <v>23</v>
      </c>
    </row>
    <row r="48" spans="1:25" x14ac:dyDescent="0.2">
      <c r="F48" s="220">
        <f>SUM(F47/18)</f>
        <v>1.9444444444444444</v>
      </c>
      <c r="H48" s="117" t="s">
        <v>111</v>
      </c>
    </row>
  </sheetData>
  <sheetProtection selectLockedCells="1" selectUnlockedCells="1"/>
  <mergeCells count="40">
    <mergeCell ref="G33:N33"/>
    <mergeCell ref="G34:N34"/>
    <mergeCell ref="G35:N35"/>
    <mergeCell ref="G36:N36"/>
    <mergeCell ref="G27:N27"/>
    <mergeCell ref="G28:N28"/>
    <mergeCell ref="G29:N29"/>
    <mergeCell ref="G30:N30"/>
    <mergeCell ref="G31:N31"/>
    <mergeCell ref="G32:N32"/>
    <mergeCell ref="G26:N26"/>
    <mergeCell ref="G12:N12"/>
    <mergeCell ref="G13:N13"/>
    <mergeCell ref="G14:N14"/>
    <mergeCell ref="G15:N15"/>
    <mergeCell ref="G16:N16"/>
    <mergeCell ref="H20:N20"/>
    <mergeCell ref="H21:N21"/>
    <mergeCell ref="H22:N22"/>
    <mergeCell ref="H23:N23"/>
    <mergeCell ref="A24:Q24"/>
    <mergeCell ref="G25:N25"/>
    <mergeCell ref="G11:N11"/>
    <mergeCell ref="A4:D4"/>
    <mergeCell ref="G4:K4"/>
    <mergeCell ref="L4:O4"/>
    <mergeCell ref="S4:U4"/>
    <mergeCell ref="G5:N5"/>
    <mergeCell ref="S5:U5"/>
    <mergeCell ref="G6:N6"/>
    <mergeCell ref="G7:N7"/>
    <mergeCell ref="G8:N8"/>
    <mergeCell ref="G9:N9"/>
    <mergeCell ref="G10:N10"/>
    <mergeCell ref="A3:Q3"/>
    <mergeCell ref="A1:Q1"/>
    <mergeCell ref="A2:E2"/>
    <mergeCell ref="H2:I2"/>
    <mergeCell ref="K2:L2"/>
    <mergeCell ref="M2:N2"/>
  </mergeCells>
  <conditionalFormatting sqref="E5:G6 E10 E13:G14 F9:G10 O5:Q16">
    <cfRule type="expression" dxfId="6" priority="1" stopIfTrue="1">
      <formula>(ISBLANK($O5)=0)</formula>
    </cfRule>
  </conditionalFormatting>
  <conditionalFormatting sqref="E7:G8 E11:F12 E15:G16 E25:G26 E28:G28 E34:G34 E36:G36 G12 G33:G36 O25:Q26 O28:Q28 O30 O32 O34:Q34 O36:Q36 Q30 Q32 Y34">
    <cfRule type="expression" dxfId="5" priority="2" stopIfTrue="1">
      <formula>#N/A</formula>
    </cfRule>
  </conditionalFormatting>
  <conditionalFormatting sqref="E9">
    <cfRule type="expression" dxfId="4" priority="3" stopIfTrue="1">
      <formula>(ISBLANK($O9)=0)</formula>
    </cfRule>
  </conditionalFormatting>
  <conditionalFormatting sqref="E27:G27">
    <cfRule type="expression" dxfId="3" priority="4" stopIfTrue="1">
      <formula>(ISBLANK($O27)=0)</formula>
    </cfRule>
  </conditionalFormatting>
  <conditionalFormatting sqref="E30:G30 E32:G32 P30 P32">
    <cfRule type="expression" dxfId="2" priority="5" stopIfTrue="1">
      <formula>(ISBLANK($O30)=0)</formula>
    </cfRule>
  </conditionalFormatting>
  <conditionalFormatting sqref="G11">
    <cfRule type="expression" dxfId="1" priority="6" stopIfTrue="1">
      <formula>(ISBLANK($O11)=0)</formula>
    </cfRule>
  </conditionalFormatting>
  <conditionalFormatting sqref="G31">
    <cfRule type="expression" dxfId="0" priority="7" stopIfTrue="1">
      <formula>#N/A</formula>
    </cfRule>
  </conditionalFormatting>
  <pageMargins left="0.7" right="0.7" top="1.575" bottom="1.5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Übersicht</vt:lpstr>
      <vt:lpstr>D3</vt:lpstr>
      <vt:lpstr>C2</vt:lpstr>
      <vt:lpstr>B1</vt:lpstr>
      <vt:lpstr>D1</vt:lpstr>
      <vt:lpstr>C1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 Eisenhut</dc:creator>
  <cp:lastModifiedBy>Pepe Eisenhut</cp:lastModifiedBy>
  <cp:lastPrinted>2019-01-21T11:22:18Z</cp:lastPrinted>
  <dcterms:created xsi:type="dcterms:W3CDTF">2019-01-21T11:36:44Z</dcterms:created>
  <dcterms:modified xsi:type="dcterms:W3CDTF">2019-01-21T21:45:30Z</dcterms:modified>
</cp:coreProperties>
</file>